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125" activeTab="0"/>
  </bookViews>
  <sheets>
    <sheet name="31.12." sheetId="1" r:id="rId1"/>
  </sheets>
  <externalReferences>
    <externalReference r:id="rId4"/>
  </externalReferences>
  <definedNames>
    <definedName name="_xlnm.Print_Area" localSheetId="0">'31.12.'!$A$1:$E$175</definedName>
  </definedNames>
  <calcPr fullCalcOnLoad="1"/>
</workbook>
</file>

<file path=xl/sharedStrings.xml><?xml version="1.0" encoding="utf-8"?>
<sst xmlns="http://schemas.openxmlformats.org/spreadsheetml/2006/main" count="326" uniqueCount="320">
  <si>
    <t>Kapitola</t>
  </si>
  <si>
    <t>Podkapitola</t>
  </si>
  <si>
    <t>1. Vlastní zdroje</t>
  </si>
  <si>
    <t>P1.1</t>
  </si>
  <si>
    <t>Členské příspěvky</t>
  </si>
  <si>
    <t>P1.2</t>
  </si>
  <si>
    <t>2.Cizí zdroje</t>
  </si>
  <si>
    <t>P2.1</t>
  </si>
  <si>
    <t>P2.2</t>
  </si>
  <si>
    <t>3.Vlastní sportovní činnost</t>
  </si>
  <si>
    <t>P3.1</t>
  </si>
  <si>
    <t>Poplatky FIDE - rating</t>
  </si>
  <si>
    <t>P3.2</t>
  </si>
  <si>
    <t>Poplatky FIDE- tituly</t>
  </si>
  <si>
    <t>P3.3</t>
  </si>
  <si>
    <t>Poplatky LOK</t>
  </si>
  <si>
    <t>P3.4</t>
  </si>
  <si>
    <t>Startovné v soutěžích družstev dospělých</t>
  </si>
  <si>
    <t>P3.5</t>
  </si>
  <si>
    <t>Startovné v soutěžích družstev mládeže</t>
  </si>
  <si>
    <t>P3.7</t>
  </si>
  <si>
    <t>P3.8</t>
  </si>
  <si>
    <t>Poplatky za přestupy</t>
  </si>
  <si>
    <t>Cizinci</t>
  </si>
  <si>
    <t>P3.10</t>
  </si>
  <si>
    <t>Pokuty</t>
  </si>
  <si>
    <t>P3.11</t>
  </si>
  <si>
    <t>4.Zdaňované příjmy</t>
  </si>
  <si>
    <t>P4.1</t>
  </si>
  <si>
    <t>Reklama</t>
  </si>
  <si>
    <t>P4.2</t>
  </si>
  <si>
    <t>Prodej metodických materiálů</t>
  </si>
  <si>
    <t>P4.3</t>
  </si>
  <si>
    <t>Bankovní úroky</t>
  </si>
  <si>
    <t>P4.4</t>
  </si>
  <si>
    <t>Ostatní příjmy</t>
  </si>
  <si>
    <t>5.Sponzorské dary</t>
  </si>
  <si>
    <t xml:space="preserve">Celkem </t>
  </si>
  <si>
    <t>Výdaje</t>
  </si>
  <si>
    <t>1.Soutěže zahraniční - dospělí</t>
  </si>
  <si>
    <t>V1.1</t>
  </si>
  <si>
    <t>V1.2</t>
  </si>
  <si>
    <t>V1.3</t>
  </si>
  <si>
    <t>V1.4</t>
  </si>
  <si>
    <t>V1.5</t>
  </si>
  <si>
    <t>V1.6</t>
  </si>
  <si>
    <t>V1.7</t>
  </si>
  <si>
    <t>V1.8</t>
  </si>
  <si>
    <t>V1.9</t>
  </si>
  <si>
    <t>2.Soutěže domácí - dospělí</t>
  </si>
  <si>
    <t>V2.1</t>
  </si>
  <si>
    <t>V2.3</t>
  </si>
  <si>
    <t>MČR dorostenců a juniorů</t>
  </si>
  <si>
    <t>V2.4</t>
  </si>
  <si>
    <t>V2.5</t>
  </si>
  <si>
    <t>V2.6</t>
  </si>
  <si>
    <t>MČR v rapid šachu žen</t>
  </si>
  <si>
    <t>V2.7</t>
  </si>
  <si>
    <t>MČR v bleskovém šachu</t>
  </si>
  <si>
    <t>V2.8</t>
  </si>
  <si>
    <t>MČR seniorů</t>
  </si>
  <si>
    <t>V2.9</t>
  </si>
  <si>
    <t>Grand prix v rapid šachu</t>
  </si>
  <si>
    <t>V2.10</t>
  </si>
  <si>
    <t>V2.11</t>
  </si>
  <si>
    <t>Pohár v rapid šachu družstev</t>
  </si>
  <si>
    <t>V2.12</t>
  </si>
  <si>
    <t>MČR v rapid šachu muži</t>
  </si>
  <si>
    <t>V2.13</t>
  </si>
  <si>
    <t>3.Soutěže zahraniční - mládež</t>
  </si>
  <si>
    <t>V3.1</t>
  </si>
  <si>
    <t>V3.2</t>
  </si>
  <si>
    <t>V3.3</t>
  </si>
  <si>
    <t>V3.4</t>
  </si>
  <si>
    <t>4.Soutěže domácí - mládež</t>
  </si>
  <si>
    <t>V4.1</t>
  </si>
  <si>
    <t>MČR jednotlivců H,D 10-16</t>
  </si>
  <si>
    <t>V4.2</t>
  </si>
  <si>
    <t>MČR jednotlivců H,D 8</t>
  </si>
  <si>
    <t>V4.3</t>
  </si>
  <si>
    <t>M Čech jednotlivců H,D 12-16</t>
  </si>
  <si>
    <t>V4.4</t>
  </si>
  <si>
    <t>M Čech jednotlivců H,D 10</t>
  </si>
  <si>
    <t>V4.5</t>
  </si>
  <si>
    <t>MMS jednotlivců H,D 10-16</t>
  </si>
  <si>
    <t>V4.6</t>
  </si>
  <si>
    <t>MČR družstev st. žáků</t>
  </si>
  <si>
    <t>V4.7</t>
  </si>
  <si>
    <t>MČR družstev ml. žáků</t>
  </si>
  <si>
    <t>V4.8</t>
  </si>
  <si>
    <t>MČR jednotlivců H,D 10-14 v rapid šachu</t>
  </si>
  <si>
    <t>V4.10</t>
  </si>
  <si>
    <t>Přebor družstev žáků středních škol</t>
  </si>
  <si>
    <t>V4.11</t>
  </si>
  <si>
    <t>Přebor družstev žáků zákl. škol 6.-9. třída</t>
  </si>
  <si>
    <t>V4.12</t>
  </si>
  <si>
    <t>Přebor družstev žáků zákl. škol 1.-5. třída</t>
  </si>
  <si>
    <t>V4.13</t>
  </si>
  <si>
    <t>Národní ligy družstev mládeže - poháry</t>
  </si>
  <si>
    <t>5.Sportovní příprava</t>
  </si>
  <si>
    <t>V5.1</t>
  </si>
  <si>
    <t>Soustředění muži</t>
  </si>
  <si>
    <t>V5.2</t>
  </si>
  <si>
    <t>Soustředění ženy</t>
  </si>
  <si>
    <t>V5.3</t>
  </si>
  <si>
    <t>V5.4</t>
  </si>
  <si>
    <t>Soustředění skupina TOP do 18 let</t>
  </si>
  <si>
    <t>Soustředění skupina TOP nad 18 let</t>
  </si>
  <si>
    <t>6.Individuální příprava</t>
  </si>
  <si>
    <t>V6.1</t>
  </si>
  <si>
    <t>Individuální příprava do 18 let</t>
  </si>
  <si>
    <t>V6.2</t>
  </si>
  <si>
    <t>Individuální příprava nad 18 let</t>
  </si>
  <si>
    <t>7.Školení</t>
  </si>
  <si>
    <t>V7.1</t>
  </si>
  <si>
    <t xml:space="preserve">Školení a semináře rozhodčích </t>
  </si>
  <si>
    <t>V7.2</t>
  </si>
  <si>
    <t>Školení a semináře trenérů</t>
  </si>
  <si>
    <t>8.Poplatky FIDE</t>
  </si>
  <si>
    <t>V8.1</t>
  </si>
  <si>
    <t>V8.2</t>
  </si>
  <si>
    <t>Poplatky za rating turnajů</t>
  </si>
  <si>
    <t>V8.3</t>
  </si>
  <si>
    <t>V8.4</t>
  </si>
  <si>
    <t>Poplatky za tituly</t>
  </si>
  <si>
    <t>9.Evidence a výpočet LOK</t>
  </si>
  <si>
    <t>V9.1</t>
  </si>
  <si>
    <t>Zpracovatel listiny LOK</t>
  </si>
  <si>
    <t>V9.2</t>
  </si>
  <si>
    <t>Licence Swiss manager</t>
  </si>
  <si>
    <t>V9.3</t>
  </si>
  <si>
    <t>Evidence členské základny - SW</t>
  </si>
  <si>
    <t>10.Dotace a příspěvky na sportovní činnost</t>
  </si>
  <si>
    <t>V10.1</t>
  </si>
  <si>
    <t>V10.2</t>
  </si>
  <si>
    <t>Korespondenční šach</t>
  </si>
  <si>
    <t>V10.3</t>
  </si>
  <si>
    <t>Kompoziční šach</t>
  </si>
  <si>
    <t>11.Metodické materiály - výroba</t>
  </si>
  <si>
    <t>V11.1</t>
  </si>
  <si>
    <t>Metodické materiály TMK</t>
  </si>
  <si>
    <t>12.Propagace</t>
  </si>
  <si>
    <t>V12.1</t>
  </si>
  <si>
    <t>Pořad v šachu</t>
  </si>
  <si>
    <t>V12.2</t>
  </si>
  <si>
    <t>Pronájem webu</t>
  </si>
  <si>
    <t>V12.3</t>
  </si>
  <si>
    <t>Webmastr</t>
  </si>
  <si>
    <t>V12.5</t>
  </si>
  <si>
    <t>V12.6</t>
  </si>
  <si>
    <t>13.Antidoping</t>
  </si>
  <si>
    <t>14.Mzdové náklady zaměstnanců</t>
  </si>
  <si>
    <t>V14.1</t>
  </si>
  <si>
    <t>V14.2</t>
  </si>
  <si>
    <t>Sociální pojištění, 25% mzdy</t>
  </si>
  <si>
    <t>V14.3</t>
  </si>
  <si>
    <t>Zdravotní pojištění 9%</t>
  </si>
  <si>
    <t>V14.4</t>
  </si>
  <si>
    <t>V14.5</t>
  </si>
  <si>
    <t>Penzijní připojištění</t>
  </si>
  <si>
    <t>V14.6</t>
  </si>
  <si>
    <t>Sociální náklady - stravenky</t>
  </si>
  <si>
    <t>15.Odměny funkcionářů a externích spolupracovníků svazu</t>
  </si>
  <si>
    <t>V15.1</t>
  </si>
  <si>
    <t>V15.2</t>
  </si>
  <si>
    <t>Odměny vedoucí soutěží dospělých</t>
  </si>
  <si>
    <t>V15.3</t>
  </si>
  <si>
    <t>Reprezentační trenér mládeže</t>
  </si>
  <si>
    <t>V15.4</t>
  </si>
  <si>
    <t>V15.5</t>
  </si>
  <si>
    <t>16.Cestovné, stravné, pobytové náklady</t>
  </si>
  <si>
    <t>V16.1</t>
  </si>
  <si>
    <t>Zaměstnanci a externí pracovníci svazu</t>
  </si>
  <si>
    <t>V16.2</t>
  </si>
  <si>
    <t>Konference</t>
  </si>
  <si>
    <t>V16.3</t>
  </si>
  <si>
    <t>VV</t>
  </si>
  <si>
    <t>V16.4</t>
  </si>
  <si>
    <t>STK</t>
  </si>
  <si>
    <t>V16.5</t>
  </si>
  <si>
    <t>TMK</t>
  </si>
  <si>
    <t>V16.6</t>
  </si>
  <si>
    <t>KM</t>
  </si>
  <si>
    <t>V16.7</t>
  </si>
  <si>
    <t>KR a KK</t>
  </si>
  <si>
    <t>V16.10</t>
  </si>
  <si>
    <t>Revizní komise</t>
  </si>
  <si>
    <t>V16.11</t>
  </si>
  <si>
    <t>Delegát FIDE</t>
  </si>
  <si>
    <t>17.Sekretariát</t>
  </si>
  <si>
    <t>V17.1</t>
  </si>
  <si>
    <t>V17.2</t>
  </si>
  <si>
    <t>V17.3</t>
  </si>
  <si>
    <t>Poštovné</t>
  </si>
  <si>
    <t>V17.4</t>
  </si>
  <si>
    <t>Telefony</t>
  </si>
  <si>
    <t>V17.5</t>
  </si>
  <si>
    <t>Bankovní poplatky</t>
  </si>
  <si>
    <t>V17.6</t>
  </si>
  <si>
    <t>Nákup DHM</t>
  </si>
  <si>
    <t>V17.7</t>
  </si>
  <si>
    <t>Pojištění majetku</t>
  </si>
  <si>
    <t>V17.8</t>
  </si>
  <si>
    <t>Oprava materiálu</t>
  </si>
  <si>
    <t>V17.9</t>
  </si>
  <si>
    <t>Spotřební materiál</t>
  </si>
  <si>
    <t>V17.10</t>
  </si>
  <si>
    <t>Reprefond</t>
  </si>
  <si>
    <t>V17.11</t>
  </si>
  <si>
    <t>V17.12</t>
  </si>
  <si>
    <t>Předplatné odborného tisku</t>
  </si>
  <si>
    <t>V17.13</t>
  </si>
  <si>
    <t>Rezerva</t>
  </si>
  <si>
    <t>P5.1</t>
  </si>
  <si>
    <t>Poplatky za FIDE rating list - max paušál 1500 euro</t>
  </si>
  <si>
    <t>Mzdy hrubé</t>
  </si>
  <si>
    <t>V15.6</t>
  </si>
  <si>
    <t>Školení trenérů</t>
  </si>
  <si>
    <t>P4.5</t>
  </si>
  <si>
    <t>Sponzorské dary</t>
  </si>
  <si>
    <t>Herní aréna</t>
  </si>
  <si>
    <t>Podíl na individuální přípravě mládeže</t>
  </si>
  <si>
    <t>Hospodářský výsledek</t>
  </si>
  <si>
    <t>Členský poplatek FIDE - 1950 euro</t>
  </si>
  <si>
    <t xml:space="preserve">Krajské příspěvky </t>
  </si>
  <si>
    <t>P2.4</t>
  </si>
  <si>
    <t>P2.5</t>
  </si>
  <si>
    <t>P2.6</t>
  </si>
  <si>
    <t>MŠMT Program 1 - dotace dospělé reprezentace</t>
  </si>
  <si>
    <t>MŠMT Program 2 - dotace mládež</t>
  </si>
  <si>
    <t>MŠMT Program 5 - dotace organizační</t>
  </si>
  <si>
    <t>MŠMT Program 5 - dotace organizační - doplnění</t>
  </si>
  <si>
    <t>Magistrát Praha - Partnerství</t>
  </si>
  <si>
    <t>P3.9</t>
  </si>
  <si>
    <t>P3.13</t>
  </si>
  <si>
    <t>Polofinále H20, H18, D20, D18 + MČR dor. a juniorek</t>
  </si>
  <si>
    <t>MČR v rapid šachu D16-20, H16-20, družstva</t>
  </si>
  <si>
    <t>Extraliga družstev žen</t>
  </si>
  <si>
    <t>Finále extraligy družstev mužů</t>
  </si>
  <si>
    <t>V2.14</t>
  </si>
  <si>
    <t>MČR online šach</t>
  </si>
  <si>
    <t>V2.15</t>
  </si>
  <si>
    <t>Akademický šach</t>
  </si>
  <si>
    <t>V17.14</t>
  </si>
  <si>
    <t>Ostatní</t>
  </si>
  <si>
    <t>V2.16</t>
  </si>
  <si>
    <t>Poháry pro ligy</t>
  </si>
  <si>
    <t>Školení rozhodčích</t>
  </si>
  <si>
    <t>KŠS centra talentované mládeže</t>
  </si>
  <si>
    <t>V10.5</t>
  </si>
  <si>
    <t>V10.6</t>
  </si>
  <si>
    <t>V10.7</t>
  </si>
  <si>
    <t>KŠS krajské členské příspěvky</t>
  </si>
  <si>
    <t>Reklama herní Aréna - 5000 euro</t>
  </si>
  <si>
    <t>Úrazové pojištění 0,42%</t>
  </si>
  <si>
    <t>V15.7</t>
  </si>
  <si>
    <t>V16.12</t>
  </si>
  <si>
    <t>Online Arena</t>
  </si>
  <si>
    <t>Správa online arena</t>
  </si>
  <si>
    <t>V6.3</t>
  </si>
  <si>
    <t>V6.4</t>
  </si>
  <si>
    <t>Individuální příprava muži</t>
  </si>
  <si>
    <t>Zavřené turnaje mládeže</t>
  </si>
  <si>
    <t>V10.9</t>
  </si>
  <si>
    <t>V12.7</t>
  </si>
  <si>
    <t>Projekt online přenos extraliga</t>
  </si>
  <si>
    <t>Projekt PR výdaje</t>
  </si>
  <si>
    <t>V3.5</t>
  </si>
  <si>
    <t>Návrh</t>
  </si>
  <si>
    <t>Příjmy</t>
  </si>
  <si>
    <t>V12.9</t>
  </si>
  <si>
    <t>Rekonstrukce webu ŠSČR</t>
  </si>
  <si>
    <t>Rezerva VV pro extra hráče</t>
  </si>
  <si>
    <t>Skutečnost</t>
  </si>
  <si>
    <t>V3.6</t>
  </si>
  <si>
    <t>V1.12</t>
  </si>
  <si>
    <t>V1.13</t>
  </si>
  <si>
    <t>Univerziáda v Kazani</t>
  </si>
  <si>
    <t>V6.6</t>
  </si>
  <si>
    <t>Internetové semináře pro mládež</t>
  </si>
  <si>
    <t>V12.10</t>
  </si>
  <si>
    <t>Reprezentační soupravy pro mládež</t>
  </si>
  <si>
    <t>V15.8</t>
  </si>
  <si>
    <t>V15.9</t>
  </si>
  <si>
    <t>V15.10</t>
  </si>
  <si>
    <t>Odměna delegát FIDE</t>
  </si>
  <si>
    <t>MEU Malenovice - dotace MŠMT</t>
  </si>
  <si>
    <t>Program 5 - projekt šachy do škol</t>
  </si>
  <si>
    <t>Program 5 - podpora šachových kroužků</t>
  </si>
  <si>
    <t>Právní poradenství</t>
  </si>
  <si>
    <t>ME družstev muži, Polsko, Varšava</t>
  </si>
  <si>
    <t>ME družstev ženy, Polsko, Varšava</t>
  </si>
  <si>
    <t>ME jednotlivců muži, Polsko, Legnice</t>
  </si>
  <si>
    <t>ME jednotlivců ženy, Srbsko, Bělehrad</t>
  </si>
  <si>
    <t>Mitropa muži, Německo, Meiban</t>
  </si>
  <si>
    <t>Mitropa ženy, Německo, Meiban</t>
  </si>
  <si>
    <t>MS H20 - juniorů, Turecko, Hataj</t>
  </si>
  <si>
    <t>MS D20 - juniorek, Turecko, Hataj</t>
  </si>
  <si>
    <t>Pohár družstev, Řecko, Rhodos</t>
  </si>
  <si>
    <t>ME senorů družstev, Německo,  Drážďany</t>
  </si>
  <si>
    <t>MS do 18 let, Spojené arabské emiráty</t>
  </si>
  <si>
    <t>ME do 18 let, Černá Hora</t>
  </si>
  <si>
    <t>Mistrovství EU, ČR</t>
  </si>
  <si>
    <t>ME juniorských družstev, Slovinsko</t>
  </si>
  <si>
    <t>Olympiáda mládeže, Čína</t>
  </si>
  <si>
    <t>Odměny vedoucí soutěží mládeže</t>
  </si>
  <si>
    <t>Odměny trenérů reprezentace</t>
  </si>
  <si>
    <t>Smlouvy s reprezenty</t>
  </si>
  <si>
    <t xml:space="preserve">Odměna administrativní práce komisí </t>
  </si>
  <si>
    <t xml:space="preserve">Pracovní činnost členů VV </t>
  </si>
  <si>
    <t>Činnost správce online Arény</t>
  </si>
  <si>
    <t>Nájem a služby ČSTV</t>
  </si>
  <si>
    <t>Účetnictví - licence SW</t>
  </si>
  <si>
    <t>Úprava VV 81</t>
  </si>
  <si>
    <t xml:space="preserve">Konference </t>
  </si>
  <si>
    <t>MČR mužů a žen</t>
  </si>
  <si>
    <t xml:space="preserve">Pozn: </t>
  </si>
  <si>
    <t>Změny schválené na 81. VV ŠSČR 11.6. 2011</t>
  </si>
  <si>
    <t>Hospodaření ŠSČR k 30.6. 2013</t>
  </si>
  <si>
    <t>Skutečnost 30.6.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</si>
</sst>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&quot; Kč&quot;;[Red]\-#,##0&quot; Kč&quot;"/>
    <numFmt numFmtId="166" formatCode="#,##0&quot; Kč&quot;;[Red]#,##0&quot; Kč&quot;"/>
    <numFmt numFmtId="167" formatCode="#,##0.00&quot; Kč&quot;;[Red]\-#,##0.00&quot; Kč&quot;"/>
    <numFmt numFmtId="168" formatCode="dd/mm/yyyy"/>
    <numFmt numFmtId="169" formatCode="#,##0\ &quot;Kč&quot;"/>
    <numFmt numFmtId="170" formatCode="#,##0\ _K_č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4" borderId="6" applyNumberFormat="0" applyFont="0" applyAlignment="0" applyProtection="0"/>
    <xf numFmtId="9" fontId="1" fillId="0" borderId="0" applyFill="0" applyBorder="0" applyAlignment="0" applyProtection="0"/>
    <xf numFmtId="0" fontId="15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2" borderId="8" applyNumberFormat="0" applyAlignment="0" applyProtection="0"/>
    <xf numFmtId="0" fontId="20" fillId="2" borderId="9" applyNumberFormat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9" borderId="0" xfId="0" applyFill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4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18" borderId="12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3" fillId="19" borderId="11" xfId="0" applyFont="1" applyFill="1" applyBorder="1" applyAlignment="1">
      <alignment/>
    </xf>
    <xf numFmtId="0" fontId="3" fillId="20" borderId="11" xfId="0" applyFont="1" applyFill="1" applyBorder="1" applyAlignment="1">
      <alignment/>
    </xf>
    <xf numFmtId="0" fontId="3" fillId="21" borderId="11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3" fillId="23" borderId="11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4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18" borderId="11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20" borderId="11" xfId="0" applyFont="1" applyFill="1" applyBorder="1" applyAlignment="1">
      <alignment/>
    </xf>
    <xf numFmtId="0" fontId="2" fillId="21" borderId="11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2" fillId="23" borderId="11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18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18" borderId="15" xfId="0" applyFont="1" applyFill="1" applyBorder="1" applyAlignment="1">
      <alignment horizontal="left"/>
    </xf>
    <xf numFmtId="0" fontId="3" fillId="18" borderId="14" xfId="0" applyFont="1" applyFill="1" applyBorder="1" applyAlignment="1">
      <alignment horizontal="left"/>
    </xf>
    <xf numFmtId="0" fontId="3" fillId="19" borderId="14" xfId="0" applyFont="1" applyFill="1" applyBorder="1" applyAlignment="1">
      <alignment horizontal="left"/>
    </xf>
    <xf numFmtId="0" fontId="3" fillId="20" borderId="14" xfId="0" applyFont="1" applyFill="1" applyBorder="1" applyAlignment="1">
      <alignment horizontal="left"/>
    </xf>
    <xf numFmtId="0" fontId="3" fillId="21" borderId="14" xfId="0" applyFont="1" applyFill="1" applyBorder="1" applyAlignment="1">
      <alignment horizontal="left"/>
    </xf>
    <xf numFmtId="0" fontId="3" fillId="22" borderId="14" xfId="0" applyFont="1" applyFill="1" applyBorder="1" applyAlignment="1">
      <alignment horizontal="left"/>
    </xf>
    <xf numFmtId="0" fontId="3" fillId="23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4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0" applyNumberFormat="1" applyFill="1" applyBorder="1" applyAlignment="1">
      <alignment horizontal="right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169" fontId="4" fillId="0" borderId="2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right"/>
    </xf>
    <xf numFmtId="169" fontId="3" fillId="4" borderId="11" xfId="0" applyNumberFormat="1" applyFont="1" applyFill="1" applyBorder="1" applyAlignment="1">
      <alignment horizontal="right"/>
    </xf>
    <xf numFmtId="0" fontId="2" fillId="4" borderId="18" xfId="0" applyFont="1" applyFill="1" applyBorder="1" applyAlignment="1">
      <alignment/>
    </xf>
    <xf numFmtId="169" fontId="3" fillId="4" borderId="18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3" fillId="25" borderId="16" xfId="0" applyFont="1" applyFill="1" applyBorder="1" applyAlignment="1">
      <alignment horizontal="left"/>
    </xf>
    <xf numFmtId="0" fontId="3" fillId="25" borderId="13" xfId="0" applyFont="1" applyFill="1" applyBorder="1" applyAlignment="1">
      <alignment/>
    </xf>
    <xf numFmtId="164" fontId="3" fillId="0" borderId="11" xfId="0" applyNumberFormat="1" applyFont="1" applyFill="1" applyBorder="1" applyAlignment="1">
      <alignment horizontal="right"/>
    </xf>
    <xf numFmtId="0" fontId="3" fillId="24" borderId="22" xfId="0" applyFont="1" applyFill="1" applyBorder="1" applyAlignment="1">
      <alignment horizontal="left"/>
    </xf>
    <xf numFmtId="0" fontId="3" fillId="24" borderId="23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169" fontId="3" fillId="0" borderId="23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/>
    </xf>
    <xf numFmtId="169" fontId="3" fillId="0" borderId="13" xfId="0" applyNumberFormat="1" applyFont="1" applyFill="1" applyBorder="1" applyAlignment="1">
      <alignment/>
    </xf>
    <xf numFmtId="169" fontId="3" fillId="9" borderId="13" xfId="0" applyNumberFormat="1" applyFont="1" applyFill="1" applyBorder="1" applyAlignment="1">
      <alignment horizontal="right"/>
    </xf>
    <xf numFmtId="169" fontId="3" fillId="4" borderId="12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70" fontId="3" fillId="0" borderId="24" xfId="0" applyNumberFormat="1" applyFont="1" applyFill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9" fontId="3" fillId="4" borderId="24" xfId="0" applyNumberFormat="1" applyFont="1" applyFill="1" applyBorder="1" applyAlignment="1">
      <alignment horizontal="right"/>
    </xf>
    <xf numFmtId="169" fontId="2" fillId="0" borderId="26" xfId="0" applyNumberFormat="1" applyFont="1" applyFill="1" applyBorder="1" applyAlignment="1">
      <alignment horizontal="right"/>
    </xf>
    <xf numFmtId="169" fontId="3" fillId="4" borderId="26" xfId="0" applyNumberFormat="1" applyFont="1" applyFill="1" applyBorder="1" applyAlignment="1">
      <alignment horizontal="right"/>
    </xf>
    <xf numFmtId="169" fontId="2" fillId="26" borderId="26" xfId="0" applyNumberFormat="1" applyFont="1" applyFill="1" applyBorder="1" applyAlignment="1">
      <alignment horizontal="right"/>
    </xf>
    <xf numFmtId="169" fontId="2" fillId="4" borderId="26" xfId="0" applyNumberFormat="1" applyFont="1" applyFill="1" applyBorder="1" applyAlignment="1">
      <alignment horizontal="right"/>
    </xf>
    <xf numFmtId="169" fontId="2" fillId="0" borderId="27" xfId="0" applyNumberFormat="1" applyFont="1" applyFill="1" applyBorder="1" applyAlignment="1">
      <alignment horizontal="right"/>
    </xf>
    <xf numFmtId="169" fontId="3" fillId="9" borderId="28" xfId="0" applyNumberFormat="1" applyFont="1" applyFill="1" applyBorder="1" applyAlignment="1">
      <alignment horizontal="right"/>
    </xf>
    <xf numFmtId="170" fontId="3" fillId="0" borderId="24" xfId="0" applyNumberFormat="1" applyFont="1" applyFill="1" applyBorder="1" applyAlignment="1">
      <alignment horizontal="center" vertical="center"/>
    </xf>
    <xf numFmtId="169" fontId="3" fillId="4" borderId="29" xfId="0" applyNumberFormat="1" applyFont="1" applyFill="1" applyBorder="1" applyAlignment="1">
      <alignment horizontal="right"/>
    </xf>
    <xf numFmtId="169" fontId="3" fillId="0" borderId="26" xfId="0" applyNumberFormat="1" applyFont="1" applyFill="1" applyBorder="1" applyAlignment="1">
      <alignment horizontal="right"/>
    </xf>
    <xf numFmtId="169" fontId="3" fillId="0" borderId="28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3" fillId="0" borderId="3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169" fontId="0" fillId="0" borderId="0" xfId="0" applyNumberFormat="1" applyFill="1" applyAlignment="1">
      <alignment/>
    </xf>
    <xf numFmtId="169" fontId="17" fillId="0" borderId="0" xfId="0" applyNumberFormat="1" applyFont="1" applyFill="1" applyAlignment="1">
      <alignment/>
    </xf>
    <xf numFmtId="169" fontId="3" fillId="0" borderId="31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169" fontId="17" fillId="0" borderId="0" xfId="0" applyNumberFormat="1" applyFont="1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169" fontId="0" fillId="0" borderId="11" xfId="0" applyNumberFormat="1" applyFont="1" applyFill="1" applyBorder="1" applyAlignment="1">
      <alignment horizontal="right"/>
    </xf>
    <xf numFmtId="169" fontId="24" fillId="0" borderId="26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169" fontId="0" fillId="0" borderId="11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69" fontId="4" fillId="0" borderId="20" xfId="0" applyNumberFormat="1" applyFont="1" applyFill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170" fontId="3" fillId="0" borderId="32" xfId="0" applyNumberFormat="1" applyFont="1" applyFill="1" applyBorder="1" applyAlignment="1">
      <alignment horizontal="center"/>
    </xf>
    <xf numFmtId="170" fontId="3" fillId="0" borderId="33" xfId="0" applyNumberFormat="1" applyFont="1" applyFill="1" applyBorder="1" applyAlignment="1">
      <alignment horizontal="center" vertical="center"/>
    </xf>
    <xf numFmtId="169" fontId="3" fillId="4" borderId="32" xfId="0" applyNumberFormat="1" applyFont="1" applyFill="1" applyBorder="1" applyAlignment="1">
      <alignment horizontal="right"/>
    </xf>
    <xf numFmtId="169" fontId="2" fillId="0" borderId="34" xfId="0" applyNumberFormat="1" applyFont="1" applyFill="1" applyBorder="1" applyAlignment="1">
      <alignment horizontal="right"/>
    </xf>
    <xf numFmtId="169" fontId="3" fillId="4" borderId="34" xfId="0" applyNumberFormat="1" applyFont="1" applyFill="1" applyBorder="1" applyAlignment="1">
      <alignment horizontal="right"/>
    </xf>
    <xf numFmtId="169" fontId="17" fillId="0" borderId="34" xfId="0" applyNumberFormat="1" applyFont="1" applyFill="1" applyBorder="1" applyAlignment="1">
      <alignment horizontal="right"/>
    </xf>
    <xf numFmtId="169" fontId="2" fillId="26" borderId="34" xfId="0" applyNumberFormat="1" applyFont="1" applyFill="1" applyBorder="1" applyAlignment="1">
      <alignment horizontal="right"/>
    </xf>
    <xf numFmtId="169" fontId="17" fillId="0" borderId="34" xfId="0" applyNumberFormat="1" applyFont="1" applyFill="1" applyBorder="1" applyAlignment="1">
      <alignment horizontal="right"/>
    </xf>
    <xf numFmtId="169" fontId="2" fillId="4" borderId="34" xfId="0" applyNumberFormat="1" applyFont="1" applyFill="1" applyBorder="1" applyAlignment="1">
      <alignment horizontal="right"/>
    </xf>
    <xf numFmtId="169" fontId="2" fillId="0" borderId="35" xfId="0" applyNumberFormat="1" applyFont="1" applyFill="1" applyBorder="1" applyAlignment="1">
      <alignment horizontal="right"/>
    </xf>
    <xf numFmtId="169" fontId="3" fillId="9" borderId="36" xfId="0" applyNumberFormat="1" applyFont="1" applyFill="1" applyBorder="1" applyAlignment="1">
      <alignment horizontal="right"/>
    </xf>
    <xf numFmtId="169" fontId="0" fillId="0" borderId="37" xfId="0" applyNumberFormat="1" applyFill="1" applyBorder="1" applyAlignment="1">
      <alignment/>
    </xf>
    <xf numFmtId="169" fontId="0" fillId="0" borderId="38" xfId="0" applyNumberFormat="1" applyFill="1" applyBorder="1" applyAlignment="1">
      <alignment/>
    </xf>
    <xf numFmtId="170" fontId="3" fillId="0" borderId="32" xfId="0" applyNumberFormat="1" applyFont="1" applyFill="1" applyBorder="1" applyAlignment="1">
      <alignment horizontal="center" vertical="center"/>
    </xf>
    <xf numFmtId="170" fontId="3" fillId="0" borderId="33" xfId="0" applyNumberFormat="1" applyFont="1" applyFill="1" applyBorder="1" applyAlignment="1">
      <alignment horizontal="center" vertical="center"/>
    </xf>
    <xf numFmtId="169" fontId="3" fillId="4" borderId="39" xfId="0" applyNumberFormat="1" applyFont="1" applyFill="1" applyBorder="1" applyAlignment="1">
      <alignment horizontal="right"/>
    </xf>
    <xf numFmtId="169" fontId="24" fillId="0" borderId="34" xfId="0" applyNumberFormat="1" applyFont="1" applyBorder="1" applyAlignment="1">
      <alignment horizontal="right"/>
    </xf>
    <xf numFmtId="169" fontId="0" fillId="0" borderId="34" xfId="0" applyNumberFormat="1" applyFont="1" applyFill="1" applyBorder="1" applyAlignment="1">
      <alignment horizontal="right"/>
    </xf>
    <xf numFmtId="169" fontId="3" fillId="0" borderId="34" xfId="0" applyNumberFormat="1" applyFont="1" applyFill="1" applyBorder="1" applyAlignment="1">
      <alignment horizontal="right"/>
    </xf>
    <xf numFmtId="169" fontId="3" fillId="0" borderId="36" xfId="0" applyNumberFormat="1" applyFont="1" applyFill="1" applyBorder="1" applyAlignment="1">
      <alignment horizontal="right"/>
    </xf>
    <xf numFmtId="169" fontId="2" fillId="0" borderId="37" xfId="0" applyNumberFormat="1" applyFont="1" applyFill="1" applyBorder="1" applyAlignment="1">
      <alignment/>
    </xf>
    <xf numFmtId="169" fontId="4" fillId="0" borderId="40" xfId="0" applyNumberFormat="1" applyFont="1" applyFill="1" applyBorder="1" applyAlignment="1">
      <alignment/>
    </xf>
    <xf numFmtId="170" fontId="3" fillId="0" borderId="41" xfId="0" applyNumberFormat="1" applyFont="1" applyFill="1" applyBorder="1" applyAlignment="1">
      <alignment horizontal="center"/>
    </xf>
    <xf numFmtId="169" fontId="3" fillId="4" borderId="41" xfId="0" applyNumberFormat="1" applyFont="1" applyFill="1" applyBorder="1" applyAlignment="1">
      <alignment horizontal="right"/>
    </xf>
    <xf numFmtId="169" fontId="3" fillId="4" borderId="37" xfId="0" applyNumberFormat="1" applyFont="1" applyFill="1" applyBorder="1" applyAlignment="1">
      <alignment horizontal="right"/>
    </xf>
    <xf numFmtId="169" fontId="2" fillId="4" borderId="37" xfId="0" applyNumberFormat="1" applyFont="1" applyFill="1" applyBorder="1" applyAlignment="1">
      <alignment horizontal="right"/>
    </xf>
    <xf numFmtId="169" fontId="3" fillId="9" borderId="31" xfId="0" applyNumberFormat="1" applyFont="1" applyFill="1" applyBorder="1" applyAlignment="1">
      <alignment horizontal="right"/>
    </xf>
    <xf numFmtId="169" fontId="3" fillId="4" borderId="42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zpocet_2013_ZF_P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 11 2012"/>
    </sheetNames>
    <sheetDataSet>
      <sheetData sheetId="0">
        <row r="9">
          <cell r="F9">
            <v>607000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77"/>
  <sheetViews>
    <sheetView tabSelected="1" zoomScale="90" zoomScaleNormal="90" zoomScaleSheetLayoutView="100" zoomScalePageLayoutView="0" workbookViewId="0" topLeftCell="A1">
      <selection activeCell="H173" sqref="H173"/>
    </sheetView>
  </sheetViews>
  <sheetFormatPr defaultColWidth="9.140625" defaultRowHeight="15"/>
  <cols>
    <col min="1" max="1" width="6.28125" style="51" customWidth="1"/>
    <col min="2" max="2" width="7.28125" style="4" customWidth="1"/>
    <col min="3" max="3" width="40.57421875" style="4" customWidth="1"/>
    <col min="4" max="4" width="15.7109375" style="52" customWidth="1"/>
    <col min="5" max="5" width="14.28125" style="2" customWidth="1"/>
    <col min="6" max="6" width="14.57421875" style="79" customWidth="1"/>
    <col min="7" max="7" width="14.7109375" style="96" customWidth="1"/>
    <col min="8" max="14" width="8.7109375" style="2" customWidth="1"/>
    <col min="15" max="131" width="9.140625" style="2" customWidth="1"/>
  </cols>
  <sheetData>
    <row r="1" spans="1:6" ht="15.75">
      <c r="A1" s="95" t="s">
        <v>318</v>
      </c>
      <c r="B1" s="13"/>
      <c r="C1" s="24"/>
      <c r="D1" s="53"/>
      <c r="F1" s="76"/>
    </row>
    <row r="2" spans="1:6" ht="15.75" thickBot="1">
      <c r="A2" s="13"/>
      <c r="B2" s="13"/>
      <c r="C2" s="24"/>
      <c r="D2" s="53"/>
      <c r="F2" s="76"/>
    </row>
    <row r="3" spans="1:7" ht="15">
      <c r="A3" s="54" t="s">
        <v>269</v>
      </c>
      <c r="B3" s="55"/>
      <c r="C3" s="55"/>
      <c r="D3" s="56">
        <v>2012</v>
      </c>
      <c r="E3" s="77">
        <v>2013</v>
      </c>
      <c r="F3" s="113">
        <v>2013</v>
      </c>
      <c r="G3" s="135">
        <v>2013</v>
      </c>
    </row>
    <row r="4" spans="1:7" ht="15.75" thickBot="1">
      <c r="A4" s="57" t="s">
        <v>0</v>
      </c>
      <c r="B4" s="58"/>
      <c r="C4" s="58" t="s">
        <v>1</v>
      </c>
      <c r="D4" s="107" t="s">
        <v>273</v>
      </c>
      <c r="E4" s="108" t="s">
        <v>314</v>
      </c>
      <c r="F4" s="114" t="s">
        <v>313</v>
      </c>
      <c r="G4" s="134" t="s">
        <v>319</v>
      </c>
    </row>
    <row r="5" spans="1:131" s="5" customFormat="1" ht="15">
      <c r="A5" s="109" t="s">
        <v>2</v>
      </c>
      <c r="B5" s="110"/>
      <c r="C5" s="62"/>
      <c r="D5" s="63">
        <f>SUM(D6:D7)</f>
        <v>2438216</v>
      </c>
      <c r="E5" s="82">
        <f>SUM(E6:E7)</f>
        <v>2350000</v>
      </c>
      <c r="F5" s="115">
        <f>SUM(F6:F7)</f>
        <v>2350000</v>
      </c>
      <c r="G5" s="136">
        <f>SUM(G6:G7)</f>
        <v>2170379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7" ht="15">
      <c r="A6" s="37"/>
      <c r="B6" s="9" t="s">
        <v>3</v>
      </c>
      <c r="C6" s="22" t="s">
        <v>4</v>
      </c>
      <c r="D6" s="102">
        <v>1405630</v>
      </c>
      <c r="E6" s="83">
        <v>1350000</v>
      </c>
      <c r="F6" s="116">
        <v>1350000</v>
      </c>
      <c r="G6" s="124">
        <v>1280339</v>
      </c>
    </row>
    <row r="7" spans="1:7" ht="15">
      <c r="A7" s="37"/>
      <c r="B7" s="9" t="s">
        <v>5</v>
      </c>
      <c r="C7" s="22" t="s">
        <v>224</v>
      </c>
      <c r="D7" s="102">
        <v>1032586</v>
      </c>
      <c r="E7" s="83">
        <v>1000000</v>
      </c>
      <c r="F7" s="116">
        <v>1000000</v>
      </c>
      <c r="G7" s="124">
        <v>890040</v>
      </c>
    </row>
    <row r="8" spans="1:131" s="5" customFormat="1" ht="15">
      <c r="A8" s="38" t="s">
        <v>6</v>
      </c>
      <c r="B8" s="11"/>
      <c r="C8" s="23"/>
      <c r="D8" s="61">
        <v>12327000</v>
      </c>
      <c r="E8" s="84">
        <f>SUM(E9:E13)</f>
        <v>6683200</v>
      </c>
      <c r="F8" s="117">
        <f>SUM(F9:F13)</f>
        <v>4495700</v>
      </c>
      <c r="G8" s="137">
        <f>SUM(G9:G13)</f>
        <v>1826600</v>
      </c>
      <c r="H8" s="2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0" ht="15">
      <c r="A9" s="37"/>
      <c r="B9" s="9" t="s">
        <v>7</v>
      </c>
      <c r="C9" s="22" t="s">
        <v>228</v>
      </c>
      <c r="D9" s="102">
        <v>526200</v>
      </c>
      <c r="E9" s="83">
        <v>526200</v>
      </c>
      <c r="F9" s="118">
        <v>356600</v>
      </c>
      <c r="G9" s="124">
        <v>356600</v>
      </c>
      <c r="I9" s="99"/>
      <c r="J9" s="3"/>
    </row>
    <row r="10" spans="1:10" ht="15">
      <c r="A10" s="37"/>
      <c r="B10" s="9" t="s">
        <v>8</v>
      </c>
      <c r="C10" s="22" t="s">
        <v>229</v>
      </c>
      <c r="D10" s="102">
        <v>607300</v>
      </c>
      <c r="E10" s="83">
        <f>'[1]26 11 2012'!$F$9</f>
        <v>607000</v>
      </c>
      <c r="F10" s="118">
        <v>470000</v>
      </c>
      <c r="G10" s="124">
        <v>470000</v>
      </c>
      <c r="I10" s="99"/>
      <c r="J10" s="100"/>
    </row>
    <row r="11" spans="1:10" ht="15">
      <c r="A11" s="37"/>
      <c r="B11" s="9" t="s">
        <v>225</v>
      </c>
      <c r="C11" s="22" t="s">
        <v>230</v>
      </c>
      <c r="D11" s="102">
        <v>9051500</v>
      </c>
      <c r="E11" s="83">
        <v>4500000</v>
      </c>
      <c r="F11" s="118">
        <v>3649100</v>
      </c>
      <c r="G11" s="124">
        <v>1000000</v>
      </c>
      <c r="I11" s="99"/>
      <c r="J11" s="100"/>
    </row>
    <row r="12" spans="1:10" ht="15">
      <c r="A12" s="37"/>
      <c r="B12" s="9" t="s">
        <v>226</v>
      </c>
      <c r="C12" s="22" t="s">
        <v>231</v>
      </c>
      <c r="D12" s="102">
        <v>2000000</v>
      </c>
      <c r="E12" s="83">
        <v>1000000</v>
      </c>
      <c r="F12" s="118">
        <v>0</v>
      </c>
      <c r="G12" s="124"/>
      <c r="I12" s="101"/>
      <c r="J12" s="100"/>
    </row>
    <row r="13" spans="1:10" ht="15">
      <c r="A13" s="37"/>
      <c r="B13" s="9" t="s">
        <v>227</v>
      </c>
      <c r="C13" s="22" t="s">
        <v>232</v>
      </c>
      <c r="D13" s="102">
        <v>0</v>
      </c>
      <c r="E13" s="83">
        <v>50000</v>
      </c>
      <c r="F13" s="118">
        <v>20000</v>
      </c>
      <c r="G13" s="124"/>
      <c r="I13" s="3"/>
      <c r="J13" s="101"/>
    </row>
    <row r="14" spans="1:131" s="5" customFormat="1" ht="15">
      <c r="A14" s="38" t="s">
        <v>9</v>
      </c>
      <c r="B14" s="12"/>
      <c r="C14" s="23"/>
      <c r="D14" s="61">
        <v>1769989</v>
      </c>
      <c r="E14" s="84">
        <f>SUM(E15:E25)</f>
        <v>1503000</v>
      </c>
      <c r="F14" s="117">
        <f>SUM(F15:F25)</f>
        <v>1503000</v>
      </c>
      <c r="G14" s="137">
        <f>SUM(G15:G25)</f>
        <v>340393</v>
      </c>
      <c r="H14" s="2"/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2" ht="15">
      <c r="A15" s="37"/>
      <c r="B15" s="9" t="s">
        <v>10</v>
      </c>
      <c r="C15" s="22" t="s">
        <v>11</v>
      </c>
      <c r="D15" s="102">
        <f>437755+12320+2590</f>
        <v>452665</v>
      </c>
      <c r="E15" s="83">
        <v>350000</v>
      </c>
      <c r="F15" s="116">
        <v>350000</v>
      </c>
      <c r="G15" s="124">
        <v>94028</v>
      </c>
      <c r="I15" s="101"/>
      <c r="J15" s="3"/>
      <c r="L15" s="3"/>
    </row>
    <row r="16" spans="1:7" ht="15">
      <c r="A16" s="37"/>
      <c r="B16" s="9" t="s">
        <v>12</v>
      </c>
      <c r="C16" s="22" t="s">
        <v>13</v>
      </c>
      <c r="D16" s="102">
        <f>18424+100672+8678</f>
        <v>127774</v>
      </c>
      <c r="E16" s="83">
        <v>30000</v>
      </c>
      <c r="F16" s="116">
        <v>30000</v>
      </c>
      <c r="G16" s="124">
        <v>44955</v>
      </c>
    </row>
    <row r="17" spans="1:7" ht="15">
      <c r="A17" s="37"/>
      <c r="B17" s="9" t="s">
        <v>14</v>
      </c>
      <c r="C17" s="22" t="s">
        <v>15</v>
      </c>
      <c r="D17" s="102">
        <v>472640</v>
      </c>
      <c r="E17" s="83">
        <v>450000</v>
      </c>
      <c r="F17" s="116">
        <v>450000</v>
      </c>
      <c r="G17" s="124">
        <v>92010</v>
      </c>
    </row>
    <row r="18" spans="1:7" ht="15">
      <c r="A18" s="37"/>
      <c r="B18" s="9" t="s">
        <v>16</v>
      </c>
      <c r="C18" s="22" t="s">
        <v>17</v>
      </c>
      <c r="D18" s="102">
        <v>207545</v>
      </c>
      <c r="E18" s="83">
        <v>180000</v>
      </c>
      <c r="F18" s="116">
        <v>180000</v>
      </c>
      <c r="G18" s="124">
        <v>9500</v>
      </c>
    </row>
    <row r="19" spans="1:7" ht="15">
      <c r="A19" s="37"/>
      <c r="B19" s="9" t="s">
        <v>18</v>
      </c>
      <c r="C19" s="22" t="s">
        <v>19</v>
      </c>
      <c r="D19" s="102">
        <v>31600</v>
      </c>
      <c r="E19" s="83">
        <v>32000</v>
      </c>
      <c r="F19" s="116">
        <v>32000</v>
      </c>
      <c r="G19" s="124"/>
    </row>
    <row r="20" spans="1:7" ht="15">
      <c r="A20" s="37"/>
      <c r="B20" s="9" t="s">
        <v>20</v>
      </c>
      <c r="C20" s="22" t="s">
        <v>221</v>
      </c>
      <c r="D20" s="102">
        <v>263655</v>
      </c>
      <c r="E20" s="83">
        <v>250000</v>
      </c>
      <c r="F20" s="116">
        <v>250000</v>
      </c>
      <c r="G20" s="124">
        <v>94800</v>
      </c>
    </row>
    <row r="21" spans="1:7" ht="15">
      <c r="A21" s="37"/>
      <c r="B21" s="9" t="s">
        <v>21</v>
      </c>
      <c r="C21" s="22" t="s">
        <v>22</v>
      </c>
      <c r="D21" s="102">
        <v>60275</v>
      </c>
      <c r="E21" s="83">
        <v>60000</v>
      </c>
      <c r="F21" s="116">
        <v>60000</v>
      </c>
      <c r="G21" s="124">
        <v>4000</v>
      </c>
    </row>
    <row r="22" spans="1:7" ht="15">
      <c r="A22" s="37"/>
      <c r="B22" s="9" t="s">
        <v>233</v>
      </c>
      <c r="C22" s="22" t="s">
        <v>23</v>
      </c>
      <c r="D22" s="102">
        <v>64235</v>
      </c>
      <c r="E22" s="83">
        <v>65000</v>
      </c>
      <c r="F22" s="116">
        <v>65000</v>
      </c>
      <c r="G22" s="124">
        <v>600</v>
      </c>
    </row>
    <row r="23" spans="1:7" ht="15">
      <c r="A23" s="37"/>
      <c r="B23" s="9" t="s">
        <v>24</v>
      </c>
      <c r="C23" s="22" t="s">
        <v>25</v>
      </c>
      <c r="D23" s="102">
        <v>60900</v>
      </c>
      <c r="E23" s="83">
        <v>60000</v>
      </c>
      <c r="F23" s="116">
        <v>60000</v>
      </c>
      <c r="G23" s="124">
        <v>500</v>
      </c>
    </row>
    <row r="24" spans="1:7" ht="15">
      <c r="A24" s="37"/>
      <c r="B24" s="9" t="s">
        <v>26</v>
      </c>
      <c r="C24" s="22" t="s">
        <v>247</v>
      </c>
      <c r="D24" s="102">
        <v>7200</v>
      </c>
      <c r="E24" s="83">
        <v>10000</v>
      </c>
      <c r="F24" s="116">
        <v>10000</v>
      </c>
      <c r="G24" s="124"/>
    </row>
    <row r="25" spans="1:7" ht="15">
      <c r="A25" s="37"/>
      <c r="B25" s="10" t="s">
        <v>234</v>
      </c>
      <c r="C25" s="22" t="s">
        <v>217</v>
      </c>
      <c r="D25" s="102">
        <v>18500</v>
      </c>
      <c r="E25" s="83">
        <v>16000</v>
      </c>
      <c r="F25" s="116">
        <v>16000</v>
      </c>
      <c r="G25" s="124"/>
    </row>
    <row r="26" spans="1:131" s="5" customFormat="1" ht="15">
      <c r="A26" s="38" t="s">
        <v>27</v>
      </c>
      <c r="B26" s="11"/>
      <c r="C26" s="23"/>
      <c r="D26" s="61">
        <v>576123</v>
      </c>
      <c r="E26" s="84">
        <f>SUM(E27:E31)</f>
        <v>760000</v>
      </c>
      <c r="F26" s="117">
        <f>SUM(F27:F31)</f>
        <v>775000</v>
      </c>
      <c r="G26" s="137">
        <f>SUM(G27:G31)</f>
        <v>77196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7" ht="15">
      <c r="A27" s="37"/>
      <c r="B27" s="10" t="s">
        <v>28</v>
      </c>
      <c r="C27" s="22" t="s">
        <v>29</v>
      </c>
      <c r="D27" s="102">
        <v>63500</v>
      </c>
      <c r="E27" s="85">
        <v>60000</v>
      </c>
      <c r="F27" s="119">
        <v>60000</v>
      </c>
      <c r="G27" s="124"/>
    </row>
    <row r="28" spans="1:7" ht="15">
      <c r="A28" s="37"/>
      <c r="B28" s="10" t="s">
        <v>30</v>
      </c>
      <c r="C28" s="22" t="s">
        <v>31</v>
      </c>
      <c r="D28" s="102">
        <v>10220</v>
      </c>
      <c r="E28" s="83">
        <v>10000</v>
      </c>
      <c r="F28" s="120">
        <v>25000</v>
      </c>
      <c r="G28" s="124">
        <v>726</v>
      </c>
    </row>
    <row r="29" spans="1:7" ht="15">
      <c r="A29" s="37"/>
      <c r="B29" s="10" t="s">
        <v>32</v>
      </c>
      <c r="C29" s="22" t="s">
        <v>33</v>
      </c>
      <c r="D29" s="102">
        <f>313083+3</f>
        <v>313086</v>
      </c>
      <c r="E29" s="83">
        <v>300000</v>
      </c>
      <c r="F29" s="116">
        <v>300000</v>
      </c>
      <c r="G29" s="124">
        <v>72870</v>
      </c>
    </row>
    <row r="30" spans="1:7" ht="15" customHeight="1">
      <c r="A30" s="37"/>
      <c r="B30" s="10" t="s">
        <v>34</v>
      </c>
      <c r="C30" s="22" t="s">
        <v>35</v>
      </c>
      <c r="D30" s="102">
        <f>9267+5200+1100+6331+2400+4055+23700</f>
        <v>52053</v>
      </c>
      <c r="E30" s="83">
        <v>30000</v>
      </c>
      <c r="F30" s="116">
        <v>30000</v>
      </c>
      <c r="G30" s="124">
        <v>3600</v>
      </c>
    </row>
    <row r="31" spans="1:7" ht="15">
      <c r="A31" s="37"/>
      <c r="B31" s="10" t="s">
        <v>218</v>
      </c>
      <c r="C31" s="22" t="s">
        <v>220</v>
      </c>
      <c r="D31" s="102">
        <v>0</v>
      </c>
      <c r="E31" s="83">
        <v>360000</v>
      </c>
      <c r="F31" s="116">
        <v>360000</v>
      </c>
      <c r="G31" s="124"/>
    </row>
    <row r="32" spans="1:131" s="5" customFormat="1" ht="15">
      <c r="A32" s="38" t="s">
        <v>36</v>
      </c>
      <c r="B32" s="23"/>
      <c r="C32" s="23"/>
      <c r="D32" s="61">
        <f>SUM(D33:D33)</f>
        <v>2500</v>
      </c>
      <c r="E32" s="86">
        <f>SUM(E33:E33)</f>
        <v>240000</v>
      </c>
      <c r="F32" s="121">
        <f>SUM(F33:F33)</f>
        <v>240000</v>
      </c>
      <c r="G32" s="138">
        <f>SUM(G33:G33)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7" ht="15.75" thickBot="1">
      <c r="A33" s="64"/>
      <c r="B33" s="8" t="s">
        <v>213</v>
      </c>
      <c r="C33" s="34" t="s">
        <v>219</v>
      </c>
      <c r="D33" s="106">
        <v>2500</v>
      </c>
      <c r="E33" s="87">
        <v>240000</v>
      </c>
      <c r="F33" s="122">
        <v>240000</v>
      </c>
      <c r="G33" s="125"/>
    </row>
    <row r="34" spans="1:131" s="6" customFormat="1" ht="15.75" thickBot="1">
      <c r="A34" s="65" t="s">
        <v>37</v>
      </c>
      <c r="B34" s="66"/>
      <c r="C34" s="66"/>
      <c r="D34" s="74">
        <f>D5+D8+D14+D26+D32</f>
        <v>17113828</v>
      </c>
      <c r="E34" s="88">
        <f>E5+E8+E14+E26+E32</f>
        <v>11536200</v>
      </c>
      <c r="F34" s="123">
        <f>F5+F8+F14+F26+F32</f>
        <v>9363700</v>
      </c>
      <c r="G34" s="139">
        <f>G5+G8+G14+G26+G32</f>
        <v>4414568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1:131" s="1" customFormat="1" ht="15.75" customHeight="1" thickBot="1">
      <c r="A35" s="40"/>
      <c r="B35" s="7"/>
      <c r="C35" s="24"/>
      <c r="D35" s="53"/>
      <c r="E35" s="3"/>
      <c r="F35" s="76"/>
      <c r="G35" s="10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</row>
    <row r="36" spans="1:7" ht="15">
      <c r="A36" s="54" t="s">
        <v>38</v>
      </c>
      <c r="B36" s="55"/>
      <c r="C36" s="55"/>
      <c r="D36" s="56">
        <v>2012</v>
      </c>
      <c r="E36" s="89">
        <v>2013</v>
      </c>
      <c r="F36" s="126">
        <v>2013</v>
      </c>
      <c r="G36" s="135">
        <v>2013</v>
      </c>
    </row>
    <row r="37" spans="1:7" ht="15.75" thickBot="1">
      <c r="A37" s="57" t="s">
        <v>0</v>
      </c>
      <c r="B37" s="58"/>
      <c r="C37" s="58" t="s">
        <v>1</v>
      </c>
      <c r="D37" s="59" t="s">
        <v>273</v>
      </c>
      <c r="E37" s="78" t="s">
        <v>268</v>
      </c>
      <c r="F37" s="127" t="s">
        <v>268</v>
      </c>
      <c r="G37" s="134" t="s">
        <v>319</v>
      </c>
    </row>
    <row r="38" spans="1:7" ht="15">
      <c r="A38" s="41" t="s">
        <v>39</v>
      </c>
      <c r="B38" s="14"/>
      <c r="C38" s="33"/>
      <c r="D38" s="75">
        <v>846424</v>
      </c>
      <c r="E38" s="90">
        <f>SUM(E39:E49)</f>
        <v>810000</v>
      </c>
      <c r="F38" s="128">
        <f>SUM(F39:F49)</f>
        <v>790000</v>
      </c>
      <c r="G38" s="140">
        <f>SUM(G39:G49)</f>
        <v>209549</v>
      </c>
    </row>
    <row r="39" spans="1:7" ht="15">
      <c r="A39" s="39"/>
      <c r="B39" s="10" t="s">
        <v>40</v>
      </c>
      <c r="C39" s="22" t="s">
        <v>290</v>
      </c>
      <c r="D39" s="102">
        <v>356876</v>
      </c>
      <c r="E39" s="103">
        <v>225000</v>
      </c>
      <c r="F39" s="129">
        <v>225000</v>
      </c>
      <c r="G39" s="124"/>
    </row>
    <row r="40" spans="1:7" ht="15">
      <c r="A40" s="39"/>
      <c r="B40" s="10" t="s">
        <v>41</v>
      </c>
      <c r="C40" s="22" t="s">
        <v>291</v>
      </c>
      <c r="D40" s="102">
        <v>203476</v>
      </c>
      <c r="E40" s="103">
        <v>225000</v>
      </c>
      <c r="F40" s="129">
        <v>225000</v>
      </c>
      <c r="G40" s="124"/>
    </row>
    <row r="41" spans="1:14" ht="15">
      <c r="A41" s="39"/>
      <c r="B41" s="10" t="s">
        <v>42</v>
      </c>
      <c r="C41" s="22" t="s">
        <v>292</v>
      </c>
      <c r="D41" s="102">
        <f>106525-2552-1659</f>
        <v>102314</v>
      </c>
      <c r="E41" s="103">
        <v>60000</v>
      </c>
      <c r="F41" s="129">
        <v>60000</v>
      </c>
      <c r="G41" s="124">
        <v>72901</v>
      </c>
      <c r="K41" s="3"/>
      <c r="L41" s="3"/>
      <c r="M41" s="3"/>
      <c r="N41" s="3"/>
    </row>
    <row r="42" spans="1:11" ht="15">
      <c r="A42" s="39"/>
      <c r="B42" s="10" t="s">
        <v>43</v>
      </c>
      <c r="C42" s="22" t="s">
        <v>293</v>
      </c>
      <c r="D42" s="102">
        <v>72302</v>
      </c>
      <c r="E42" s="103">
        <v>90000</v>
      </c>
      <c r="F42" s="129">
        <v>90000</v>
      </c>
      <c r="G42" s="124">
        <v>65409</v>
      </c>
      <c r="K42" s="3"/>
    </row>
    <row r="43" spans="1:7" ht="15">
      <c r="A43" s="39"/>
      <c r="B43" s="10" t="s">
        <v>44</v>
      </c>
      <c r="C43" s="22" t="s">
        <v>294</v>
      </c>
      <c r="D43" s="102">
        <v>52793</v>
      </c>
      <c r="E43" s="103">
        <v>45000</v>
      </c>
      <c r="F43" s="129">
        <v>45000</v>
      </c>
      <c r="G43" s="124">
        <v>42680</v>
      </c>
    </row>
    <row r="44" spans="1:7" ht="15">
      <c r="A44" s="39"/>
      <c r="B44" s="10" t="s">
        <v>45</v>
      </c>
      <c r="C44" s="22" t="s">
        <v>295</v>
      </c>
      <c r="D44" s="102">
        <v>21409</v>
      </c>
      <c r="E44" s="103">
        <v>28000</v>
      </c>
      <c r="F44" s="129">
        <v>28000</v>
      </c>
      <c r="G44" s="124">
        <v>28559</v>
      </c>
    </row>
    <row r="45" spans="1:7" ht="15">
      <c r="A45" s="39"/>
      <c r="B45" s="10" t="s">
        <v>46</v>
      </c>
      <c r="C45" s="22" t="s">
        <v>296</v>
      </c>
      <c r="D45" s="102">
        <v>0</v>
      </c>
      <c r="E45" s="103">
        <v>43000</v>
      </c>
      <c r="F45" s="129">
        <v>43000</v>
      </c>
      <c r="G45" s="124"/>
    </row>
    <row r="46" spans="1:7" ht="15">
      <c r="A46" s="39"/>
      <c r="B46" s="10" t="s">
        <v>47</v>
      </c>
      <c r="C46" s="22" t="s">
        <v>297</v>
      </c>
      <c r="D46" s="102">
        <v>0</v>
      </c>
      <c r="E46" s="103">
        <v>9000</v>
      </c>
      <c r="F46" s="129">
        <v>9000</v>
      </c>
      <c r="G46" s="124"/>
    </row>
    <row r="47" spans="1:7" ht="15">
      <c r="A47" s="39"/>
      <c r="B47" s="10" t="s">
        <v>48</v>
      </c>
      <c r="C47" s="22" t="s">
        <v>298</v>
      </c>
      <c r="D47" s="102">
        <v>25000</v>
      </c>
      <c r="E47" s="83">
        <v>25000</v>
      </c>
      <c r="F47" s="116">
        <v>25000</v>
      </c>
      <c r="G47" s="124"/>
    </row>
    <row r="48" spans="1:7" ht="15">
      <c r="A48" s="39"/>
      <c r="B48" s="10" t="s">
        <v>275</v>
      </c>
      <c r="C48" s="22" t="s">
        <v>299</v>
      </c>
      <c r="D48" s="60"/>
      <c r="E48" s="83">
        <v>20000</v>
      </c>
      <c r="F48" s="116">
        <v>20000</v>
      </c>
      <c r="G48" s="124"/>
    </row>
    <row r="49" spans="1:7" ht="15">
      <c r="A49" s="39"/>
      <c r="B49" s="10" t="s">
        <v>276</v>
      </c>
      <c r="C49" s="104" t="s">
        <v>277</v>
      </c>
      <c r="D49" s="60"/>
      <c r="E49" s="83">
        <v>40000</v>
      </c>
      <c r="F49" s="120">
        <v>20000</v>
      </c>
      <c r="G49" s="124"/>
    </row>
    <row r="50" spans="1:7" ht="15">
      <c r="A50" s="42" t="s">
        <v>49</v>
      </c>
      <c r="B50" s="15"/>
      <c r="C50" s="25"/>
      <c r="D50" s="61">
        <v>859164</v>
      </c>
      <c r="E50" s="84">
        <f>SUM(E51:E65)</f>
        <v>949500</v>
      </c>
      <c r="F50" s="117">
        <f>SUM(F51:F65)</f>
        <v>929500</v>
      </c>
      <c r="G50" s="137">
        <f>SUM(G51:G65)</f>
        <v>311563</v>
      </c>
    </row>
    <row r="51" spans="1:7" ht="15">
      <c r="A51" s="39"/>
      <c r="B51" s="10" t="s">
        <v>50</v>
      </c>
      <c r="C51" s="22" t="s">
        <v>315</v>
      </c>
      <c r="D51" s="102">
        <v>290550</v>
      </c>
      <c r="E51" s="83">
        <v>425000</v>
      </c>
      <c r="F51" s="116">
        <v>425000</v>
      </c>
      <c r="G51" s="124">
        <v>211063</v>
      </c>
    </row>
    <row r="52" spans="1:7" ht="15">
      <c r="A52" s="39"/>
      <c r="B52" s="10" t="s">
        <v>51</v>
      </c>
      <c r="C52" s="22" t="s">
        <v>52</v>
      </c>
      <c r="D52" s="102">
        <v>80000</v>
      </c>
      <c r="E52" s="83">
        <v>80000</v>
      </c>
      <c r="F52" s="116">
        <v>80000</v>
      </c>
      <c r="G52" s="124">
        <v>80000</v>
      </c>
    </row>
    <row r="53" spans="1:7" ht="15">
      <c r="A53" s="39"/>
      <c r="B53" s="10" t="s">
        <v>53</v>
      </c>
      <c r="C53" s="22" t="s">
        <v>235</v>
      </c>
      <c r="D53" s="102">
        <v>12000</v>
      </c>
      <c r="E53" s="83">
        <v>15000</v>
      </c>
      <c r="F53" s="116">
        <v>15000</v>
      </c>
      <c r="G53" s="124"/>
    </row>
    <row r="54" spans="1:7" ht="15">
      <c r="A54" s="39"/>
      <c r="B54" s="10" t="s">
        <v>54</v>
      </c>
      <c r="C54" s="22" t="s">
        <v>67</v>
      </c>
      <c r="D54" s="102">
        <v>5000</v>
      </c>
      <c r="E54" s="83">
        <v>5000</v>
      </c>
      <c r="F54" s="116">
        <v>5000</v>
      </c>
      <c r="G54" s="124"/>
    </row>
    <row r="55" spans="1:7" ht="15">
      <c r="A55" s="39"/>
      <c r="B55" s="10" t="s">
        <v>55</v>
      </c>
      <c r="C55" s="22" t="s">
        <v>56</v>
      </c>
      <c r="D55" s="102">
        <v>5000</v>
      </c>
      <c r="E55" s="83">
        <v>5000</v>
      </c>
      <c r="F55" s="116">
        <v>5000</v>
      </c>
      <c r="G55" s="124">
        <v>5000</v>
      </c>
    </row>
    <row r="56" spans="1:7" ht="15">
      <c r="A56" s="39"/>
      <c r="B56" s="10" t="s">
        <v>57</v>
      </c>
      <c r="C56" s="22" t="s">
        <v>58</v>
      </c>
      <c r="D56" s="102">
        <v>210383</v>
      </c>
      <c r="E56" s="83">
        <v>200000</v>
      </c>
      <c r="F56" s="116">
        <v>200000</v>
      </c>
      <c r="G56" s="124"/>
    </row>
    <row r="57" spans="1:7" ht="15">
      <c r="A57" s="39"/>
      <c r="B57" s="10" t="s">
        <v>59</v>
      </c>
      <c r="C57" s="22" t="s">
        <v>60</v>
      </c>
      <c r="D57" s="102">
        <v>5000</v>
      </c>
      <c r="E57" s="83">
        <v>7000</v>
      </c>
      <c r="F57" s="116">
        <v>7000</v>
      </c>
      <c r="G57" s="124"/>
    </row>
    <row r="58" spans="1:7" ht="15">
      <c r="A58" s="39"/>
      <c r="B58" s="10" t="s">
        <v>61</v>
      </c>
      <c r="C58" s="22" t="s">
        <v>62</v>
      </c>
      <c r="D58" s="102">
        <v>25000</v>
      </c>
      <c r="E58" s="83">
        <v>25000</v>
      </c>
      <c r="F58" s="116">
        <v>25000</v>
      </c>
      <c r="G58" s="124">
        <v>15500</v>
      </c>
    </row>
    <row r="59" spans="1:7" ht="15">
      <c r="A59" s="39"/>
      <c r="B59" s="10" t="s">
        <v>63</v>
      </c>
      <c r="C59" s="22" t="s">
        <v>237</v>
      </c>
      <c r="D59" s="102">
        <v>12378</v>
      </c>
      <c r="E59" s="83">
        <v>12500</v>
      </c>
      <c r="F59" s="116">
        <v>12500</v>
      </c>
      <c r="G59" s="124"/>
    </row>
    <row r="60" spans="1:7" ht="15">
      <c r="A60" s="39"/>
      <c r="B60" s="10" t="s">
        <v>64</v>
      </c>
      <c r="C60" s="22" t="s">
        <v>65</v>
      </c>
      <c r="D60" s="102">
        <v>0</v>
      </c>
      <c r="E60" s="83">
        <v>20000</v>
      </c>
      <c r="F60" s="120">
        <v>0</v>
      </c>
      <c r="G60" s="124"/>
    </row>
    <row r="61" spans="1:7" ht="15">
      <c r="A61" s="39"/>
      <c r="B61" s="10" t="s">
        <v>66</v>
      </c>
      <c r="C61" s="22" t="s">
        <v>236</v>
      </c>
      <c r="D61" s="102">
        <v>5000</v>
      </c>
      <c r="E61" s="83">
        <v>6000</v>
      </c>
      <c r="F61" s="116">
        <v>6000</v>
      </c>
      <c r="G61" s="124"/>
    </row>
    <row r="62" spans="1:7" ht="15">
      <c r="A62" s="39"/>
      <c r="B62" s="10" t="s">
        <v>68</v>
      </c>
      <c r="C62" s="22" t="s">
        <v>238</v>
      </c>
      <c r="D62" s="102">
        <v>15000</v>
      </c>
      <c r="E62" s="83">
        <v>15000</v>
      </c>
      <c r="F62" s="116">
        <v>15000</v>
      </c>
      <c r="G62" s="124"/>
    </row>
    <row r="63" spans="1:7" ht="15">
      <c r="A63" s="39"/>
      <c r="B63" s="10" t="s">
        <v>239</v>
      </c>
      <c r="C63" s="22" t="s">
        <v>240</v>
      </c>
      <c r="D63" s="102">
        <v>100000</v>
      </c>
      <c r="E63" s="83">
        <v>120000</v>
      </c>
      <c r="F63" s="116">
        <v>120000</v>
      </c>
      <c r="G63" s="124"/>
    </row>
    <row r="64" spans="1:7" ht="15">
      <c r="A64" s="39"/>
      <c r="B64" s="10" t="s">
        <v>241</v>
      </c>
      <c r="C64" s="22" t="s">
        <v>242</v>
      </c>
      <c r="D64" s="102">
        <v>10000</v>
      </c>
      <c r="E64" s="83">
        <v>10000</v>
      </c>
      <c r="F64" s="116">
        <v>10000</v>
      </c>
      <c r="G64" s="124"/>
    </row>
    <row r="65" spans="1:7" ht="15">
      <c r="A65" s="39"/>
      <c r="B65" s="10" t="s">
        <v>245</v>
      </c>
      <c r="C65" s="22" t="s">
        <v>246</v>
      </c>
      <c r="D65" s="102">
        <v>3853</v>
      </c>
      <c r="E65" s="83">
        <v>4000</v>
      </c>
      <c r="F65" s="116">
        <v>4000</v>
      </c>
      <c r="G65" s="124"/>
    </row>
    <row r="66" spans="1:7" ht="15">
      <c r="A66" s="42" t="s">
        <v>69</v>
      </c>
      <c r="B66" s="15"/>
      <c r="C66" s="25"/>
      <c r="D66" s="61">
        <f>SUM(D67:D72)</f>
        <v>280977</v>
      </c>
      <c r="E66" s="84">
        <f>SUM(E67:E72)</f>
        <v>360000</v>
      </c>
      <c r="F66" s="117">
        <f>SUM(F67:F72)</f>
        <v>360000</v>
      </c>
      <c r="G66" s="137">
        <f>SUM(G67:G72)</f>
        <v>13010</v>
      </c>
    </row>
    <row r="67" spans="1:7" ht="15">
      <c r="A67" s="39"/>
      <c r="B67" s="10" t="s">
        <v>70</v>
      </c>
      <c r="C67" s="22" t="s">
        <v>300</v>
      </c>
      <c r="D67" s="102">
        <f>-322744+441074</f>
        <v>118330</v>
      </c>
      <c r="E67" s="83">
        <v>120000</v>
      </c>
      <c r="F67" s="116">
        <v>120000</v>
      </c>
      <c r="G67" s="124">
        <v>-15368</v>
      </c>
    </row>
    <row r="68" spans="1:7" ht="15">
      <c r="A68" s="39"/>
      <c r="B68" s="10" t="s">
        <v>71</v>
      </c>
      <c r="C68" s="22" t="s">
        <v>301</v>
      </c>
      <c r="D68" s="102">
        <f>-944873+1012802</f>
        <v>67929</v>
      </c>
      <c r="E68" s="83">
        <v>120000</v>
      </c>
      <c r="F68" s="116">
        <v>120000</v>
      </c>
      <c r="G68" s="124"/>
    </row>
    <row r="69" spans="1:7" ht="15">
      <c r="A69" s="39"/>
      <c r="B69" s="10" t="s">
        <v>72</v>
      </c>
      <c r="C69" s="22" t="s">
        <v>302</v>
      </c>
      <c r="D69" s="102">
        <v>39991</v>
      </c>
      <c r="E69" s="83">
        <v>40000</v>
      </c>
      <c r="F69" s="116">
        <v>40000</v>
      </c>
      <c r="G69" s="124"/>
    </row>
    <row r="70" spans="1:7" ht="15">
      <c r="A70" s="39"/>
      <c r="B70" s="10" t="s">
        <v>73</v>
      </c>
      <c r="C70" s="22" t="s">
        <v>272</v>
      </c>
      <c r="D70" s="102">
        <v>0</v>
      </c>
      <c r="E70" s="83">
        <v>20000</v>
      </c>
      <c r="F70" s="116">
        <v>20000</v>
      </c>
      <c r="G70" s="124"/>
    </row>
    <row r="71" spans="1:7" ht="15">
      <c r="A71" s="39"/>
      <c r="B71" s="10" t="s">
        <v>267</v>
      </c>
      <c r="C71" s="22" t="s">
        <v>303</v>
      </c>
      <c r="D71" s="102">
        <v>15827</v>
      </c>
      <c r="E71" s="83">
        <v>40000</v>
      </c>
      <c r="F71" s="116">
        <v>40000</v>
      </c>
      <c r="G71" s="124">
        <v>25755</v>
      </c>
    </row>
    <row r="72" spans="1:7" ht="15">
      <c r="A72" s="39"/>
      <c r="B72" s="10" t="s">
        <v>274</v>
      </c>
      <c r="C72" s="22" t="s">
        <v>304</v>
      </c>
      <c r="D72" s="102">
        <f>-50791+89691</f>
        <v>38900</v>
      </c>
      <c r="E72" s="83">
        <v>20000</v>
      </c>
      <c r="F72" s="116">
        <v>20000</v>
      </c>
      <c r="G72" s="124">
        <v>2623</v>
      </c>
    </row>
    <row r="73" spans="1:7" ht="15">
      <c r="A73" s="42" t="s">
        <v>74</v>
      </c>
      <c r="B73" s="15"/>
      <c r="C73" s="25"/>
      <c r="D73" s="61">
        <f>SUM(D74:D85)</f>
        <v>97000</v>
      </c>
      <c r="E73" s="84">
        <f>SUM(E74:E85)</f>
        <v>100000</v>
      </c>
      <c r="F73" s="117">
        <f>SUM(F74:F85)</f>
        <v>100000</v>
      </c>
      <c r="G73" s="137">
        <f>SUM(G74:G85)</f>
        <v>24735</v>
      </c>
    </row>
    <row r="74" spans="1:7" ht="15">
      <c r="A74" s="39"/>
      <c r="B74" s="10" t="s">
        <v>75</v>
      </c>
      <c r="C74" s="22" t="s">
        <v>76</v>
      </c>
      <c r="D74" s="102">
        <v>20000</v>
      </c>
      <c r="E74" s="83">
        <v>20000</v>
      </c>
      <c r="F74" s="116">
        <v>20000</v>
      </c>
      <c r="G74" s="124"/>
    </row>
    <row r="75" spans="1:7" ht="15">
      <c r="A75" s="39"/>
      <c r="B75" s="10" t="s">
        <v>77</v>
      </c>
      <c r="C75" s="22" t="s">
        <v>78</v>
      </c>
      <c r="D75" s="102">
        <v>5000</v>
      </c>
      <c r="E75" s="83">
        <v>5000</v>
      </c>
      <c r="F75" s="116">
        <v>5000</v>
      </c>
      <c r="G75" s="124">
        <v>5000</v>
      </c>
    </row>
    <row r="76" spans="1:7" ht="15">
      <c r="A76" s="39"/>
      <c r="B76" s="10" t="s">
        <v>79</v>
      </c>
      <c r="C76" s="22" t="s">
        <v>80</v>
      </c>
      <c r="D76" s="102">
        <v>15000</v>
      </c>
      <c r="E76" s="83">
        <v>15000</v>
      </c>
      <c r="F76" s="116">
        <v>15000</v>
      </c>
      <c r="G76" s="124"/>
    </row>
    <row r="77" spans="1:7" ht="15">
      <c r="A77" s="39"/>
      <c r="B77" s="10" t="s">
        <v>81</v>
      </c>
      <c r="C77" s="22" t="s">
        <v>82</v>
      </c>
      <c r="D77" s="102">
        <v>5000</v>
      </c>
      <c r="E77" s="83">
        <v>5000</v>
      </c>
      <c r="F77" s="116">
        <v>5000</v>
      </c>
      <c r="G77" s="124"/>
    </row>
    <row r="78" spans="1:7" ht="15">
      <c r="A78" s="39"/>
      <c r="B78" s="10" t="s">
        <v>83</v>
      </c>
      <c r="C78" s="22" t="s">
        <v>84</v>
      </c>
      <c r="D78" s="102">
        <v>20000</v>
      </c>
      <c r="E78" s="83">
        <v>20000</v>
      </c>
      <c r="F78" s="116">
        <v>20000</v>
      </c>
      <c r="G78" s="124"/>
    </row>
    <row r="79" spans="1:7" ht="15">
      <c r="A79" s="39"/>
      <c r="B79" s="10" t="s">
        <v>85</v>
      </c>
      <c r="C79" s="22" t="s">
        <v>86</v>
      </c>
      <c r="D79" s="102">
        <v>10000</v>
      </c>
      <c r="E79" s="83">
        <v>10000</v>
      </c>
      <c r="F79" s="116">
        <v>10000</v>
      </c>
      <c r="G79" s="124"/>
    </row>
    <row r="80" spans="1:7" ht="15">
      <c r="A80" s="39"/>
      <c r="B80" s="10" t="s">
        <v>87</v>
      </c>
      <c r="C80" s="22" t="s">
        <v>88</v>
      </c>
      <c r="D80" s="102">
        <v>5000</v>
      </c>
      <c r="E80" s="83">
        <v>5000</v>
      </c>
      <c r="F80" s="116">
        <v>5000</v>
      </c>
      <c r="G80" s="124">
        <v>5000</v>
      </c>
    </row>
    <row r="81" spans="1:7" ht="15">
      <c r="A81" s="39"/>
      <c r="B81" s="10" t="s">
        <v>89</v>
      </c>
      <c r="C81" s="22" t="s">
        <v>90</v>
      </c>
      <c r="D81" s="102">
        <v>5000</v>
      </c>
      <c r="E81" s="83">
        <v>5000</v>
      </c>
      <c r="F81" s="116">
        <v>5000</v>
      </c>
      <c r="G81" s="124"/>
    </row>
    <row r="82" spans="1:7" ht="15">
      <c r="A82" s="39"/>
      <c r="B82" s="10" t="s">
        <v>91</v>
      </c>
      <c r="C82" s="22" t="s">
        <v>92</v>
      </c>
      <c r="D82" s="102">
        <v>4000</v>
      </c>
      <c r="E82" s="83">
        <v>4000</v>
      </c>
      <c r="F82" s="116">
        <v>4000</v>
      </c>
      <c r="G82" s="124">
        <v>4000</v>
      </c>
    </row>
    <row r="83" spans="1:7" ht="15">
      <c r="A83" s="39"/>
      <c r="B83" s="10" t="s">
        <v>93</v>
      </c>
      <c r="C83" s="22" t="s">
        <v>94</v>
      </c>
      <c r="D83" s="102">
        <v>4000</v>
      </c>
      <c r="E83" s="83">
        <v>4000</v>
      </c>
      <c r="F83" s="116">
        <v>4000</v>
      </c>
      <c r="G83" s="124">
        <v>4000</v>
      </c>
    </row>
    <row r="84" spans="1:7" ht="15">
      <c r="A84" s="39"/>
      <c r="B84" s="10" t="s">
        <v>95</v>
      </c>
      <c r="C84" s="22" t="s">
        <v>96</v>
      </c>
      <c r="D84" s="102">
        <v>4000</v>
      </c>
      <c r="E84" s="83">
        <v>4000</v>
      </c>
      <c r="F84" s="116">
        <v>4000</v>
      </c>
      <c r="G84" s="124">
        <v>4000</v>
      </c>
    </row>
    <row r="85" spans="1:7" ht="15">
      <c r="A85" s="39"/>
      <c r="B85" s="10" t="s">
        <v>97</v>
      </c>
      <c r="C85" s="22" t="s">
        <v>98</v>
      </c>
      <c r="D85" s="102">
        <v>0</v>
      </c>
      <c r="E85" s="83">
        <v>3000</v>
      </c>
      <c r="F85" s="116">
        <v>3000</v>
      </c>
      <c r="G85" s="124">
        <v>2735</v>
      </c>
    </row>
    <row r="86" spans="1:7" ht="15">
      <c r="A86" s="43" t="s">
        <v>99</v>
      </c>
      <c r="B86" s="16"/>
      <c r="C86" s="26"/>
      <c r="D86" s="61">
        <f>SUM(D87:D90)</f>
        <v>365585</v>
      </c>
      <c r="E86" s="84">
        <f>SUM(E87:E90)</f>
        <v>260000</v>
      </c>
      <c r="F86" s="117">
        <f>SUM(F87:F90)</f>
        <v>260000</v>
      </c>
      <c r="G86" s="137">
        <f>SUM(G87:G90)</f>
        <v>44394</v>
      </c>
    </row>
    <row r="87" spans="1:13" ht="15">
      <c r="A87" s="37"/>
      <c r="B87" s="10" t="s">
        <v>100</v>
      </c>
      <c r="C87" s="22" t="s">
        <v>101</v>
      </c>
      <c r="D87" s="102">
        <v>98985</v>
      </c>
      <c r="E87" s="83">
        <v>70000</v>
      </c>
      <c r="F87" s="116">
        <v>70000</v>
      </c>
      <c r="G87" s="124">
        <v>39096</v>
      </c>
      <c r="K87" s="3"/>
      <c r="L87" s="3"/>
      <c r="M87" s="3"/>
    </row>
    <row r="88" spans="1:13" ht="15">
      <c r="A88" s="37"/>
      <c r="B88" s="10" t="s">
        <v>102</v>
      </c>
      <c r="C88" s="22" t="s">
        <v>103</v>
      </c>
      <c r="D88" s="102">
        <v>105146</v>
      </c>
      <c r="E88" s="83">
        <v>60000</v>
      </c>
      <c r="F88" s="116">
        <v>60000</v>
      </c>
      <c r="G88" s="124">
        <v>32788</v>
      </c>
      <c r="K88" s="3"/>
      <c r="L88" s="3"/>
      <c r="M88" s="3"/>
    </row>
    <row r="89" spans="1:7" ht="15">
      <c r="A89" s="37"/>
      <c r="B89" s="10" t="s">
        <v>104</v>
      </c>
      <c r="C89" s="27" t="s">
        <v>106</v>
      </c>
      <c r="D89" s="102">
        <v>129748</v>
      </c>
      <c r="E89" s="83">
        <v>80000</v>
      </c>
      <c r="F89" s="116">
        <v>80000</v>
      </c>
      <c r="G89" s="124">
        <v>-27490</v>
      </c>
    </row>
    <row r="90" spans="1:7" ht="15">
      <c r="A90" s="37"/>
      <c r="B90" s="10" t="s">
        <v>105</v>
      </c>
      <c r="C90" s="27" t="s">
        <v>107</v>
      </c>
      <c r="D90" s="102">
        <v>31706</v>
      </c>
      <c r="E90" s="83">
        <v>50000</v>
      </c>
      <c r="F90" s="116">
        <v>50000</v>
      </c>
      <c r="G90" s="124"/>
    </row>
    <row r="91" spans="1:7" ht="15">
      <c r="A91" s="43" t="s">
        <v>108</v>
      </c>
      <c r="B91" s="16"/>
      <c r="C91" s="26"/>
      <c r="D91" s="61">
        <f>SUM(D92:D95)</f>
        <v>774481</v>
      </c>
      <c r="E91" s="84">
        <f>SUM(E92:E96)</f>
        <v>925000</v>
      </c>
      <c r="F91" s="117">
        <f>SUM(F92:F96)</f>
        <v>825000</v>
      </c>
      <c r="G91" s="137">
        <f>SUM(G92:G96)</f>
        <v>196229</v>
      </c>
    </row>
    <row r="92" spans="1:7" ht="15">
      <c r="A92" s="37"/>
      <c r="B92" s="10" t="s">
        <v>109</v>
      </c>
      <c r="C92" s="22" t="s">
        <v>110</v>
      </c>
      <c r="D92" s="102">
        <f>365905+152190</f>
        <v>518095</v>
      </c>
      <c r="E92" s="83">
        <v>625000</v>
      </c>
      <c r="F92" s="116">
        <v>625000</v>
      </c>
      <c r="G92" s="124">
        <v>176315</v>
      </c>
    </row>
    <row r="93" spans="1:7" ht="15">
      <c r="A93" s="37"/>
      <c r="B93" s="10" t="s">
        <v>111</v>
      </c>
      <c r="C93" s="22" t="s">
        <v>112</v>
      </c>
      <c r="D93" s="102">
        <v>21924</v>
      </c>
      <c r="E93" s="83">
        <v>50000</v>
      </c>
      <c r="F93" s="116">
        <v>50000</v>
      </c>
      <c r="G93" s="124"/>
    </row>
    <row r="94" spans="1:7" ht="15">
      <c r="A94" s="37"/>
      <c r="B94" s="10" t="s">
        <v>259</v>
      </c>
      <c r="C94" s="22" t="s">
        <v>261</v>
      </c>
      <c r="D94" s="102">
        <v>168517</v>
      </c>
      <c r="E94" s="83">
        <v>70000</v>
      </c>
      <c r="F94" s="116">
        <v>70000</v>
      </c>
      <c r="G94" s="124">
        <v>19914</v>
      </c>
    </row>
    <row r="95" spans="1:7" ht="15">
      <c r="A95" s="37"/>
      <c r="B95" s="10" t="s">
        <v>260</v>
      </c>
      <c r="C95" s="22" t="s">
        <v>262</v>
      </c>
      <c r="D95" s="102">
        <v>65945</v>
      </c>
      <c r="E95" s="83">
        <v>100000</v>
      </c>
      <c r="F95" s="120">
        <v>0</v>
      </c>
      <c r="G95" s="124"/>
    </row>
    <row r="96" spans="1:7" ht="15">
      <c r="A96" s="37"/>
      <c r="B96" s="10" t="s">
        <v>278</v>
      </c>
      <c r="C96" s="22" t="s">
        <v>279</v>
      </c>
      <c r="D96" s="67"/>
      <c r="E96" s="83">
        <v>80000</v>
      </c>
      <c r="F96" s="116">
        <v>80000</v>
      </c>
      <c r="G96" s="124"/>
    </row>
    <row r="97" spans="1:7" ht="15">
      <c r="A97" s="44" t="s">
        <v>113</v>
      </c>
      <c r="B97" s="17"/>
      <c r="C97" s="28"/>
      <c r="D97" s="61">
        <f>SUM(D98:D99)</f>
        <v>29683</v>
      </c>
      <c r="E97" s="84">
        <f>SUM(E98:E99)</f>
        <v>58000</v>
      </c>
      <c r="F97" s="117">
        <f>SUM(F98:F99)</f>
        <v>58000</v>
      </c>
      <c r="G97" s="137">
        <f>SUM(G98:G99)</f>
        <v>26644</v>
      </c>
    </row>
    <row r="98" spans="1:7" ht="15">
      <c r="A98" s="37"/>
      <c r="B98" s="10" t="s">
        <v>114</v>
      </c>
      <c r="C98" s="22" t="s">
        <v>115</v>
      </c>
      <c r="D98" s="102">
        <f>8490+8000</f>
        <v>16490</v>
      </c>
      <c r="E98" s="83">
        <v>18000</v>
      </c>
      <c r="F98" s="116">
        <v>18000</v>
      </c>
      <c r="G98" s="124"/>
    </row>
    <row r="99" spans="1:12" ht="15">
      <c r="A99" s="37"/>
      <c r="B99" s="10" t="s">
        <v>116</v>
      </c>
      <c r="C99" s="22" t="s">
        <v>117</v>
      </c>
      <c r="D99" s="102">
        <f>0+12483+710</f>
        <v>13193</v>
      </c>
      <c r="E99" s="83">
        <v>40000</v>
      </c>
      <c r="F99" s="116">
        <v>40000</v>
      </c>
      <c r="G99" s="124">
        <v>26644</v>
      </c>
      <c r="K99" s="3"/>
      <c r="L99" s="3"/>
    </row>
    <row r="100" spans="1:7" ht="15">
      <c r="A100" s="44" t="s">
        <v>118</v>
      </c>
      <c r="B100" s="17"/>
      <c r="C100" s="28"/>
      <c r="D100" s="61">
        <f>SUM(D101:D104)</f>
        <v>469900</v>
      </c>
      <c r="E100" s="84">
        <f>SUM(E101:E104)</f>
        <v>520000</v>
      </c>
      <c r="F100" s="117">
        <f>SUM(F101:F104)</f>
        <v>520000</v>
      </c>
      <c r="G100" s="137">
        <f>SUM(G101:G104)</f>
        <v>364450</v>
      </c>
    </row>
    <row r="101" spans="1:7" ht="15">
      <c r="A101" s="37"/>
      <c r="B101" s="10" t="s">
        <v>119</v>
      </c>
      <c r="C101" s="22" t="s">
        <v>223</v>
      </c>
      <c r="D101" s="102">
        <v>50378</v>
      </c>
      <c r="E101" s="83">
        <v>51000</v>
      </c>
      <c r="F101" s="116">
        <v>51000</v>
      </c>
      <c r="G101" s="124">
        <v>49940</v>
      </c>
    </row>
    <row r="102" spans="1:7" ht="15">
      <c r="A102" s="37"/>
      <c r="B102" s="10" t="s">
        <v>120</v>
      </c>
      <c r="C102" s="22" t="s">
        <v>121</v>
      </c>
      <c r="D102" s="102">
        <v>353533</v>
      </c>
      <c r="E102" s="83">
        <v>300000</v>
      </c>
      <c r="F102" s="116">
        <v>300000</v>
      </c>
      <c r="G102" s="124">
        <v>171040</v>
      </c>
    </row>
    <row r="103" spans="1:7" ht="15">
      <c r="A103" s="37"/>
      <c r="B103" s="10" t="s">
        <v>122</v>
      </c>
      <c r="C103" s="22" t="s">
        <v>214</v>
      </c>
      <c r="D103" s="102">
        <v>38753</v>
      </c>
      <c r="E103" s="83">
        <v>39000</v>
      </c>
      <c r="F103" s="116">
        <v>39000</v>
      </c>
      <c r="G103" s="124">
        <v>37623</v>
      </c>
    </row>
    <row r="104" spans="1:7" ht="15">
      <c r="A104" s="37"/>
      <c r="B104" s="10" t="s">
        <v>123</v>
      </c>
      <c r="C104" s="22" t="s">
        <v>124</v>
      </c>
      <c r="D104" s="102">
        <v>27236</v>
      </c>
      <c r="E104" s="83">
        <v>130000</v>
      </c>
      <c r="F104" s="116">
        <v>130000</v>
      </c>
      <c r="G104" s="124">
        <v>105847</v>
      </c>
    </row>
    <row r="105" spans="1:7" ht="15">
      <c r="A105" s="44" t="s">
        <v>125</v>
      </c>
      <c r="B105" s="17"/>
      <c r="C105" s="28"/>
      <c r="D105" s="61">
        <f>SUM(D106:D108)</f>
        <v>100080</v>
      </c>
      <c r="E105" s="84">
        <f>SUM(E106:E108)</f>
        <v>99000</v>
      </c>
      <c r="F105" s="117">
        <f>SUM(F106:F108)</f>
        <v>99000</v>
      </c>
      <c r="G105" s="137">
        <f>SUM(G106:G108)</f>
        <v>58778</v>
      </c>
    </row>
    <row r="106" spans="1:7" ht="15">
      <c r="A106" s="37"/>
      <c r="B106" s="10" t="s">
        <v>126</v>
      </c>
      <c r="C106" s="22" t="s">
        <v>127</v>
      </c>
      <c r="D106" s="102">
        <f>42000+24000</f>
        <v>66000</v>
      </c>
      <c r="E106" s="83">
        <v>71000</v>
      </c>
      <c r="F106" s="116">
        <v>71000</v>
      </c>
      <c r="G106" s="124">
        <v>50500</v>
      </c>
    </row>
    <row r="107" spans="1:7" ht="15">
      <c r="A107" s="37"/>
      <c r="B107" s="10" t="s">
        <v>128</v>
      </c>
      <c r="C107" s="22" t="s">
        <v>129</v>
      </c>
      <c r="D107" s="102">
        <v>8080</v>
      </c>
      <c r="E107" s="83">
        <v>8000</v>
      </c>
      <c r="F107" s="116">
        <v>8000</v>
      </c>
      <c r="G107" s="124">
        <v>8278</v>
      </c>
    </row>
    <row r="108" spans="1:7" ht="15">
      <c r="A108" s="37"/>
      <c r="B108" s="10" t="s">
        <v>130</v>
      </c>
      <c r="C108" s="22" t="s">
        <v>131</v>
      </c>
      <c r="D108" s="102">
        <v>26000</v>
      </c>
      <c r="E108" s="83">
        <v>20000</v>
      </c>
      <c r="F108" s="116">
        <v>20000</v>
      </c>
      <c r="G108" s="124"/>
    </row>
    <row r="109" spans="1:7" ht="15">
      <c r="A109" s="45" t="s">
        <v>132</v>
      </c>
      <c r="B109" s="18"/>
      <c r="C109" s="29"/>
      <c r="D109" s="61">
        <v>6754870</v>
      </c>
      <c r="E109" s="84">
        <f>SUM(E110:E116)</f>
        <v>4918500</v>
      </c>
      <c r="F109" s="117">
        <f>SUM(F110:F116)</f>
        <v>3098900</v>
      </c>
      <c r="G109" s="137">
        <f>SUM(G110:G116)</f>
        <v>1201804</v>
      </c>
    </row>
    <row r="110" spans="1:7" ht="15">
      <c r="A110" s="37"/>
      <c r="B110" s="10" t="s">
        <v>133</v>
      </c>
      <c r="C110" s="22" t="s">
        <v>248</v>
      </c>
      <c r="D110" s="102">
        <v>700000</v>
      </c>
      <c r="E110" s="83">
        <v>700000</v>
      </c>
      <c r="F110" s="116">
        <v>700000</v>
      </c>
      <c r="G110" s="124"/>
    </row>
    <row r="111" spans="1:12" ht="15">
      <c r="A111" s="37"/>
      <c r="B111" s="10" t="s">
        <v>134</v>
      </c>
      <c r="C111" s="22" t="s">
        <v>135</v>
      </c>
      <c r="D111" s="102">
        <v>208185</v>
      </c>
      <c r="E111" s="83">
        <v>103500</v>
      </c>
      <c r="F111" s="120">
        <v>83900</v>
      </c>
      <c r="G111" s="124"/>
      <c r="J111" s="96"/>
      <c r="K111" s="97"/>
      <c r="L111" s="96"/>
    </row>
    <row r="112" spans="1:7" ht="15">
      <c r="A112" s="37"/>
      <c r="B112" s="10" t="s">
        <v>136</v>
      </c>
      <c r="C112" s="22" t="s">
        <v>137</v>
      </c>
      <c r="D112" s="102">
        <v>50000</v>
      </c>
      <c r="E112" s="83">
        <v>25000</v>
      </c>
      <c r="F112" s="130">
        <v>25000</v>
      </c>
      <c r="G112" s="124">
        <v>19308</v>
      </c>
    </row>
    <row r="113" spans="1:7" ht="15">
      <c r="A113" s="37"/>
      <c r="B113" s="10" t="s">
        <v>249</v>
      </c>
      <c r="C113" s="22" t="s">
        <v>252</v>
      </c>
      <c r="D113" s="102">
        <v>1072975</v>
      </c>
      <c r="E113" s="83">
        <v>1000000</v>
      </c>
      <c r="F113" s="116">
        <v>1000000</v>
      </c>
      <c r="G113" s="124">
        <v>805325</v>
      </c>
    </row>
    <row r="114" spans="1:7" ht="15">
      <c r="A114" s="37"/>
      <c r="B114" s="10" t="s">
        <v>250</v>
      </c>
      <c r="C114" s="22" t="s">
        <v>286</v>
      </c>
      <c r="D114" s="102">
        <v>3000000</v>
      </c>
      <c r="E114" s="83">
        <v>1000000</v>
      </c>
      <c r="F114" s="118">
        <v>0</v>
      </c>
      <c r="G114" s="124"/>
    </row>
    <row r="115" spans="1:7" ht="15">
      <c r="A115" s="37"/>
      <c r="B115" s="10" t="s">
        <v>251</v>
      </c>
      <c r="C115" s="22" t="s">
        <v>288</v>
      </c>
      <c r="D115" s="102">
        <f>2002569-700000</f>
        <v>1302569</v>
      </c>
      <c r="E115" s="83">
        <v>1350000</v>
      </c>
      <c r="F115" s="120">
        <v>750000</v>
      </c>
      <c r="G115" s="124"/>
    </row>
    <row r="116" spans="1:12" ht="15">
      <c r="A116" s="37"/>
      <c r="B116" s="10" t="s">
        <v>263</v>
      </c>
      <c r="C116" s="22" t="s">
        <v>287</v>
      </c>
      <c r="D116" s="102">
        <f>183018+608</f>
        <v>183626</v>
      </c>
      <c r="E116" s="83">
        <v>740000</v>
      </c>
      <c r="F116" s="120">
        <v>540000</v>
      </c>
      <c r="G116" s="124">
        <v>377171</v>
      </c>
      <c r="K116" s="3"/>
      <c r="L116" s="3"/>
    </row>
    <row r="117" spans="1:7" ht="15">
      <c r="A117" s="44" t="s">
        <v>138</v>
      </c>
      <c r="B117" s="17"/>
      <c r="C117" s="28"/>
      <c r="D117" s="61">
        <f>SUM(D118:D118)</f>
        <v>2500</v>
      </c>
      <c r="E117" s="84">
        <f>SUM(E118:E118)</f>
        <v>125000</v>
      </c>
      <c r="F117" s="117">
        <f>SUM(F118:F118)</f>
        <v>125000</v>
      </c>
      <c r="G117" s="137">
        <f>SUM(G118:G118)</f>
        <v>13000</v>
      </c>
    </row>
    <row r="118" spans="1:7" ht="15">
      <c r="A118" s="37"/>
      <c r="B118" s="10" t="s">
        <v>139</v>
      </c>
      <c r="C118" s="22" t="s">
        <v>140</v>
      </c>
      <c r="D118" s="102">
        <v>2500</v>
      </c>
      <c r="E118" s="83">
        <v>125000</v>
      </c>
      <c r="F118" s="116">
        <v>125000</v>
      </c>
      <c r="G118" s="124">
        <v>13000</v>
      </c>
    </row>
    <row r="119" spans="1:7" ht="15">
      <c r="A119" s="44" t="s">
        <v>141</v>
      </c>
      <c r="B119" s="17"/>
      <c r="C119" s="28"/>
      <c r="D119" s="61">
        <f>SUM(D120:D126)</f>
        <v>411926</v>
      </c>
      <c r="E119" s="84">
        <f>SUM(E120:E127)</f>
        <v>896000</v>
      </c>
      <c r="F119" s="117">
        <f>SUM(F120:F127)</f>
        <v>871000</v>
      </c>
      <c r="G119" s="137">
        <f>SUM(G120:G127)</f>
        <v>226522</v>
      </c>
    </row>
    <row r="120" spans="1:7" ht="15">
      <c r="A120" s="37"/>
      <c r="B120" s="10" t="s">
        <v>142</v>
      </c>
      <c r="C120" s="22" t="s">
        <v>143</v>
      </c>
      <c r="D120" s="102">
        <v>150000</v>
      </c>
      <c r="E120" s="83">
        <v>390000</v>
      </c>
      <c r="F120" s="116">
        <v>390000</v>
      </c>
      <c r="G120" s="124">
        <v>180045</v>
      </c>
    </row>
    <row r="121" spans="1:7" ht="15">
      <c r="A121" s="37"/>
      <c r="B121" s="10" t="s">
        <v>144</v>
      </c>
      <c r="C121" s="22" t="s">
        <v>145</v>
      </c>
      <c r="D121" s="102">
        <v>49775</v>
      </c>
      <c r="E121" s="83">
        <v>50000</v>
      </c>
      <c r="F121" s="116">
        <v>50000</v>
      </c>
      <c r="G121" s="124">
        <v>19229</v>
      </c>
    </row>
    <row r="122" spans="1:7" ht="15">
      <c r="A122" s="37"/>
      <c r="B122" s="10" t="s">
        <v>146</v>
      </c>
      <c r="C122" s="22" t="s">
        <v>147</v>
      </c>
      <c r="D122" s="102">
        <f>3000+36000</f>
        <v>39000</v>
      </c>
      <c r="E122" s="83">
        <v>36000</v>
      </c>
      <c r="F122" s="116">
        <v>36000</v>
      </c>
      <c r="G122" s="124">
        <v>9000</v>
      </c>
    </row>
    <row r="123" spans="1:7" ht="15">
      <c r="A123" s="37"/>
      <c r="B123" s="10" t="s">
        <v>148</v>
      </c>
      <c r="C123" s="22" t="s">
        <v>253</v>
      </c>
      <c r="D123" s="102">
        <v>153500</v>
      </c>
      <c r="E123" s="83">
        <v>70000</v>
      </c>
      <c r="F123" s="116">
        <v>70000</v>
      </c>
      <c r="G123" s="124">
        <v>6000</v>
      </c>
    </row>
    <row r="124" spans="1:7" ht="15">
      <c r="A124" s="37"/>
      <c r="B124" s="10" t="s">
        <v>149</v>
      </c>
      <c r="C124" s="22" t="s">
        <v>265</v>
      </c>
      <c r="D124" s="102">
        <v>9800</v>
      </c>
      <c r="E124" s="83">
        <v>40000</v>
      </c>
      <c r="F124" s="116">
        <v>40000</v>
      </c>
      <c r="G124" s="124">
        <v>6400</v>
      </c>
    </row>
    <row r="125" spans="1:7" ht="15">
      <c r="A125" s="37"/>
      <c r="B125" s="10" t="s">
        <v>264</v>
      </c>
      <c r="C125" s="22" t="s">
        <v>266</v>
      </c>
      <c r="D125" s="102">
        <v>9851</v>
      </c>
      <c r="E125" s="83">
        <v>250000</v>
      </c>
      <c r="F125" s="120">
        <v>225000</v>
      </c>
      <c r="G125" s="124">
        <v>5848</v>
      </c>
    </row>
    <row r="126" spans="1:7" ht="15">
      <c r="A126" s="37"/>
      <c r="B126" s="10" t="s">
        <v>270</v>
      </c>
      <c r="C126" s="22" t="s">
        <v>271</v>
      </c>
      <c r="D126" s="102">
        <v>0</v>
      </c>
      <c r="E126" s="83">
        <v>50000</v>
      </c>
      <c r="F126" s="116">
        <v>50000</v>
      </c>
      <c r="G126" s="124"/>
    </row>
    <row r="127" spans="1:7" ht="15">
      <c r="A127" s="37"/>
      <c r="B127" s="10" t="s">
        <v>280</v>
      </c>
      <c r="C127" s="22" t="s">
        <v>281</v>
      </c>
      <c r="D127" s="67"/>
      <c r="E127" s="83">
        <v>10000</v>
      </c>
      <c r="F127" s="116">
        <v>10000</v>
      </c>
      <c r="G127" s="124"/>
    </row>
    <row r="128" spans="1:7" ht="15">
      <c r="A128" s="44" t="s">
        <v>150</v>
      </c>
      <c r="B128" s="17"/>
      <c r="C128" s="28"/>
      <c r="D128" s="102">
        <v>0</v>
      </c>
      <c r="E128" s="91">
        <v>5000</v>
      </c>
      <c r="F128" s="131">
        <v>5000</v>
      </c>
      <c r="G128" s="124"/>
    </row>
    <row r="129" spans="1:7" ht="15">
      <c r="A129" s="46" t="s">
        <v>151</v>
      </c>
      <c r="B129" s="19"/>
      <c r="C129" s="30"/>
      <c r="D129" s="61">
        <f>SUM(D130:D135)</f>
        <v>833735</v>
      </c>
      <c r="E129" s="84">
        <f>SUM(E130:E135)</f>
        <v>1185805.75</v>
      </c>
      <c r="F129" s="117">
        <f>SUM(F130:F135)</f>
        <v>1185805.75</v>
      </c>
      <c r="G129" s="137">
        <f>SUM(G130:G135)</f>
        <v>622073</v>
      </c>
    </row>
    <row r="130" spans="1:7" ht="15">
      <c r="A130" s="37"/>
      <c r="B130" s="10" t="s">
        <v>152</v>
      </c>
      <c r="C130" s="22" t="s">
        <v>215</v>
      </c>
      <c r="D130" s="102">
        <v>595542</v>
      </c>
      <c r="E130" s="83">
        <f>(21000+22000+22500)*12.5+10000</f>
        <v>828750</v>
      </c>
      <c r="F130" s="116">
        <f>(21000+22000+22500)*12.5+10000</f>
        <v>828750</v>
      </c>
      <c r="G130" s="124">
        <v>448039</v>
      </c>
    </row>
    <row r="131" spans="1:7" ht="15">
      <c r="A131" s="37"/>
      <c r="B131" s="10" t="s">
        <v>153</v>
      </c>
      <c r="C131" s="22" t="s">
        <v>154</v>
      </c>
      <c r="D131" s="102">
        <v>148890</v>
      </c>
      <c r="E131" s="83">
        <f>E130*0.25</f>
        <v>207187.5</v>
      </c>
      <c r="F131" s="116">
        <f>F130*0.25</f>
        <v>207187.5</v>
      </c>
      <c r="G131" s="124">
        <v>100263</v>
      </c>
    </row>
    <row r="132" spans="1:7" ht="15">
      <c r="A132" s="37"/>
      <c r="B132" s="10" t="s">
        <v>155</v>
      </c>
      <c r="C132" s="22" t="s">
        <v>156</v>
      </c>
      <c r="D132" s="102">
        <v>53600</v>
      </c>
      <c r="E132" s="83">
        <f>E130*0.09</f>
        <v>74587.5</v>
      </c>
      <c r="F132" s="116">
        <f>F130*0.09</f>
        <v>74587.5</v>
      </c>
      <c r="G132" s="124">
        <v>36094</v>
      </c>
    </row>
    <row r="133" spans="1:7" ht="15">
      <c r="A133" s="37"/>
      <c r="B133" s="10" t="s">
        <v>157</v>
      </c>
      <c r="C133" s="22" t="s">
        <v>254</v>
      </c>
      <c r="D133" s="102">
        <v>2503</v>
      </c>
      <c r="E133" s="83">
        <f>E130*0.0042</f>
        <v>3480.75</v>
      </c>
      <c r="F133" s="116">
        <f>F130*0.0042</f>
        <v>3480.75</v>
      </c>
      <c r="G133" s="124">
        <v>1686</v>
      </c>
    </row>
    <row r="134" spans="1:7" ht="15">
      <c r="A134" s="37"/>
      <c r="B134" s="10" t="s">
        <v>158</v>
      </c>
      <c r="C134" s="22" t="s">
        <v>159</v>
      </c>
      <c r="D134" s="102">
        <v>7200</v>
      </c>
      <c r="E134" s="83">
        <f>12*(300+300+2500)</f>
        <v>37200</v>
      </c>
      <c r="F134" s="116">
        <f>12*(300+300+2500)</f>
        <v>37200</v>
      </c>
      <c r="G134" s="124">
        <v>16475</v>
      </c>
    </row>
    <row r="135" spans="1:11" ht="15">
      <c r="A135" s="37"/>
      <c r="B135" s="10" t="s">
        <v>160</v>
      </c>
      <c r="C135" s="22" t="s">
        <v>161</v>
      </c>
      <c r="D135" s="102">
        <f>20020+5980</f>
        <v>26000</v>
      </c>
      <c r="E135" s="83">
        <v>34600</v>
      </c>
      <c r="F135" s="116">
        <v>34600</v>
      </c>
      <c r="G135" s="124">
        <v>19516</v>
      </c>
      <c r="K135" s="3"/>
    </row>
    <row r="136" spans="1:7" ht="15">
      <c r="A136" s="46" t="s">
        <v>162</v>
      </c>
      <c r="B136" s="19"/>
      <c r="C136" s="30"/>
      <c r="D136" s="61">
        <f>SUM(D137:D143)</f>
        <v>804000</v>
      </c>
      <c r="E136" s="84">
        <f>SUM(E137:E146)</f>
        <v>1181000</v>
      </c>
      <c r="F136" s="117">
        <f>SUM(F137:F146)</f>
        <v>1181000</v>
      </c>
      <c r="G136" s="137">
        <f>SUM(G137:G146)</f>
        <v>245758</v>
      </c>
    </row>
    <row r="137" spans="1:7" ht="15">
      <c r="A137" s="37"/>
      <c r="B137" s="10" t="s">
        <v>163</v>
      </c>
      <c r="C137" s="22" t="s">
        <v>309</v>
      </c>
      <c r="D137" s="102">
        <f>160000+152000+180000</f>
        <v>492000</v>
      </c>
      <c r="E137" s="83">
        <f>12*(15000+10000+6*2000)</f>
        <v>444000</v>
      </c>
      <c r="F137" s="116">
        <f>12*(15000+10000+6*2000)</f>
        <v>444000</v>
      </c>
      <c r="G137" s="124">
        <v>104000</v>
      </c>
    </row>
    <row r="138" spans="1:7" ht="15">
      <c r="A138" s="37"/>
      <c r="B138" s="10" t="s">
        <v>164</v>
      </c>
      <c r="C138" s="22" t="s">
        <v>165</v>
      </c>
      <c r="D138" s="102">
        <f>5000+27500+25000</f>
        <v>57500</v>
      </c>
      <c r="E138" s="83">
        <v>62000</v>
      </c>
      <c r="F138" s="116">
        <v>62000</v>
      </c>
      <c r="G138" s="124">
        <v>9000</v>
      </c>
    </row>
    <row r="139" spans="1:7" ht="15">
      <c r="A139" s="37"/>
      <c r="B139" s="10" t="s">
        <v>166</v>
      </c>
      <c r="C139" s="22" t="s">
        <v>167</v>
      </c>
      <c r="D139" s="102">
        <v>90000</v>
      </c>
      <c r="E139" s="83">
        <v>120000</v>
      </c>
      <c r="F139" s="116">
        <v>120000</v>
      </c>
      <c r="G139" s="124"/>
    </row>
    <row r="140" spans="1:7" ht="15">
      <c r="A140" s="37"/>
      <c r="B140" s="10" t="s">
        <v>168</v>
      </c>
      <c r="C140" s="22" t="s">
        <v>305</v>
      </c>
      <c r="D140" s="102">
        <f>0+22000</f>
        <v>22000</v>
      </c>
      <c r="E140" s="83">
        <v>22000</v>
      </c>
      <c r="F140" s="116">
        <v>22000</v>
      </c>
      <c r="G140" s="124">
        <v>22000</v>
      </c>
    </row>
    <row r="141" spans="1:7" ht="15">
      <c r="A141" s="37"/>
      <c r="B141" s="10" t="s">
        <v>169</v>
      </c>
      <c r="C141" s="22" t="s">
        <v>306</v>
      </c>
      <c r="D141" s="102">
        <v>35000</v>
      </c>
      <c r="E141" s="83">
        <v>60000</v>
      </c>
      <c r="F141" s="116">
        <v>60000</v>
      </c>
      <c r="G141" s="124">
        <v>32500</v>
      </c>
    </row>
    <row r="142" spans="1:7" ht="15">
      <c r="A142" s="37"/>
      <c r="B142" s="10" t="s">
        <v>216</v>
      </c>
      <c r="C142" s="22" t="s">
        <v>289</v>
      </c>
      <c r="D142" s="102">
        <v>11500</v>
      </c>
      <c r="E142" s="83">
        <v>25000</v>
      </c>
      <c r="F142" s="116">
        <v>25000</v>
      </c>
      <c r="G142" s="124"/>
    </row>
    <row r="143" spans="1:7" ht="15">
      <c r="A143" s="37"/>
      <c r="B143" s="10" t="s">
        <v>255</v>
      </c>
      <c r="C143" s="22" t="s">
        <v>310</v>
      </c>
      <c r="D143" s="102">
        <f>36000+60000</f>
        <v>96000</v>
      </c>
      <c r="E143" s="83">
        <v>120000</v>
      </c>
      <c r="F143" s="116">
        <v>120000</v>
      </c>
      <c r="G143" s="124">
        <v>6000</v>
      </c>
    </row>
    <row r="144" spans="1:131" s="81" customFormat="1" ht="15">
      <c r="A144" s="37"/>
      <c r="B144" s="10" t="s">
        <v>282</v>
      </c>
      <c r="C144" s="22" t="s">
        <v>307</v>
      </c>
      <c r="D144" s="67"/>
      <c r="E144" s="83">
        <v>265000</v>
      </c>
      <c r="F144" s="116">
        <v>265000</v>
      </c>
      <c r="G144" s="133">
        <v>72258</v>
      </c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</row>
    <row r="145" spans="1:7" ht="15">
      <c r="A145" s="37"/>
      <c r="B145" s="10" t="s">
        <v>283</v>
      </c>
      <c r="C145" s="22" t="s">
        <v>285</v>
      </c>
      <c r="D145" s="67"/>
      <c r="E145" s="83">
        <v>15000</v>
      </c>
      <c r="F145" s="116">
        <v>15000</v>
      </c>
      <c r="G145" s="124"/>
    </row>
    <row r="146" spans="1:7" ht="15">
      <c r="A146" s="37"/>
      <c r="B146" s="10" t="s">
        <v>284</v>
      </c>
      <c r="C146" s="22" t="s">
        <v>308</v>
      </c>
      <c r="D146" s="67"/>
      <c r="E146" s="83">
        <v>48000</v>
      </c>
      <c r="F146" s="116">
        <v>48000</v>
      </c>
      <c r="G146" s="124"/>
    </row>
    <row r="147" spans="1:7" ht="15">
      <c r="A147" s="47" t="s">
        <v>170</v>
      </c>
      <c r="B147" s="20"/>
      <c r="C147" s="31"/>
      <c r="D147" s="61">
        <f>SUM(D148:D157)</f>
        <v>329465</v>
      </c>
      <c r="E147" s="84">
        <f>SUM(E148:E157)</f>
        <v>358000</v>
      </c>
      <c r="F147" s="117">
        <f>SUM(F148:F157)</f>
        <v>353000</v>
      </c>
      <c r="G147" s="137">
        <f>SUM(G148:G157)</f>
        <v>179117</v>
      </c>
    </row>
    <row r="148" spans="1:7" ht="15">
      <c r="A148" s="37"/>
      <c r="B148" s="10" t="s">
        <v>171</v>
      </c>
      <c r="C148" s="22" t="s">
        <v>172</v>
      </c>
      <c r="D148" s="102">
        <f>67953+4560-7524</f>
        <v>64989</v>
      </c>
      <c r="E148" s="83">
        <v>70000</v>
      </c>
      <c r="F148" s="116">
        <v>70000</v>
      </c>
      <c r="G148" s="124">
        <v>5892</v>
      </c>
    </row>
    <row r="149" spans="1:11" ht="15">
      <c r="A149" s="37"/>
      <c r="B149" s="10" t="s">
        <v>173</v>
      </c>
      <c r="C149" s="22" t="s">
        <v>174</v>
      </c>
      <c r="D149" s="102">
        <f>7200+77080+16279+8880+9500</f>
        <v>118939</v>
      </c>
      <c r="E149" s="83">
        <v>80000</v>
      </c>
      <c r="F149" s="116">
        <v>80000</v>
      </c>
      <c r="G149" s="124">
        <v>101437</v>
      </c>
      <c r="K149" s="3"/>
    </row>
    <row r="150" spans="1:7" ht="15">
      <c r="A150" s="37"/>
      <c r="B150" s="10" t="s">
        <v>175</v>
      </c>
      <c r="C150" s="22" t="s">
        <v>176</v>
      </c>
      <c r="D150" s="102">
        <f>65944+4890+1800</f>
        <v>72634</v>
      </c>
      <c r="E150" s="83">
        <v>70000</v>
      </c>
      <c r="F150" s="116">
        <v>70000</v>
      </c>
      <c r="G150" s="124">
        <v>39076</v>
      </c>
    </row>
    <row r="151" spans="1:7" ht="15">
      <c r="A151" s="48"/>
      <c r="B151" s="35" t="s">
        <v>177</v>
      </c>
      <c r="C151" s="36" t="s">
        <v>178</v>
      </c>
      <c r="D151" s="105">
        <f>21715+5000</f>
        <v>26715</v>
      </c>
      <c r="E151" s="83">
        <v>25000</v>
      </c>
      <c r="F151" s="116">
        <v>25000</v>
      </c>
      <c r="G151" s="124">
        <v>24108</v>
      </c>
    </row>
    <row r="152" spans="1:7" ht="15">
      <c r="A152" s="37"/>
      <c r="B152" s="10" t="s">
        <v>179</v>
      </c>
      <c r="C152" s="22" t="s">
        <v>180</v>
      </c>
      <c r="D152" s="102">
        <v>0</v>
      </c>
      <c r="E152" s="83">
        <v>3000</v>
      </c>
      <c r="F152" s="116">
        <v>3000</v>
      </c>
      <c r="G152" s="124">
        <v>2052</v>
      </c>
    </row>
    <row r="153" spans="1:7" ht="15">
      <c r="A153" s="37"/>
      <c r="B153" s="10" t="s">
        <v>181</v>
      </c>
      <c r="C153" s="22" t="s">
        <v>182</v>
      </c>
      <c r="D153" s="102">
        <v>21650</v>
      </c>
      <c r="E153" s="83">
        <v>25000</v>
      </c>
      <c r="F153" s="116">
        <v>25000</v>
      </c>
      <c r="G153" s="124">
        <v>1332</v>
      </c>
    </row>
    <row r="154" spans="1:7" ht="15">
      <c r="A154" s="37"/>
      <c r="B154" s="10" t="s">
        <v>183</v>
      </c>
      <c r="C154" s="22" t="s">
        <v>184</v>
      </c>
      <c r="D154" s="102">
        <v>5120</v>
      </c>
      <c r="E154" s="83">
        <v>10000</v>
      </c>
      <c r="F154" s="120">
        <v>5000</v>
      </c>
      <c r="G154" s="124"/>
    </row>
    <row r="155" spans="1:7" ht="15">
      <c r="A155" s="37"/>
      <c r="B155" s="10" t="s">
        <v>185</v>
      </c>
      <c r="C155" s="22" t="s">
        <v>186</v>
      </c>
      <c r="D155" s="102">
        <v>0</v>
      </c>
      <c r="E155" s="83">
        <v>5000</v>
      </c>
      <c r="F155" s="116">
        <v>5000</v>
      </c>
      <c r="G155" s="124">
        <v>5220</v>
      </c>
    </row>
    <row r="156" spans="1:7" ht="15">
      <c r="A156" s="37"/>
      <c r="B156" s="10" t="s">
        <v>187</v>
      </c>
      <c r="C156" s="22" t="s">
        <v>188</v>
      </c>
      <c r="D156" s="102">
        <v>9000</v>
      </c>
      <c r="E156" s="83">
        <v>50000</v>
      </c>
      <c r="F156" s="116">
        <v>50000</v>
      </c>
      <c r="G156" s="124"/>
    </row>
    <row r="157" spans="1:7" ht="15">
      <c r="A157" s="37"/>
      <c r="B157" s="10" t="s">
        <v>256</v>
      </c>
      <c r="C157" s="22" t="s">
        <v>257</v>
      </c>
      <c r="D157" s="102">
        <v>10418</v>
      </c>
      <c r="E157" s="83">
        <v>20000</v>
      </c>
      <c r="F157" s="116">
        <v>20000</v>
      </c>
      <c r="G157" s="124"/>
    </row>
    <row r="158" spans="1:7" ht="15">
      <c r="A158" s="47" t="s">
        <v>189</v>
      </c>
      <c r="B158" s="20"/>
      <c r="C158" s="31"/>
      <c r="D158" s="61">
        <f>SUM(D159:D172)</f>
        <v>381896</v>
      </c>
      <c r="E158" s="84">
        <f>SUM(E159:E172)</f>
        <v>390756</v>
      </c>
      <c r="F158" s="117">
        <f>SUM(F159:F172)</f>
        <v>390756</v>
      </c>
      <c r="G158" s="137">
        <f>SUM(G159:G172)</f>
        <v>164155</v>
      </c>
    </row>
    <row r="159" spans="1:12" ht="15">
      <c r="A159" s="37"/>
      <c r="B159" s="10" t="s">
        <v>190</v>
      </c>
      <c r="C159" s="22" t="s">
        <v>311</v>
      </c>
      <c r="D159" s="102">
        <f>156646+30384+4395</f>
        <v>191425</v>
      </c>
      <c r="E159" s="83">
        <f>(12516+672)*12+39000</f>
        <v>197256</v>
      </c>
      <c r="F159" s="116">
        <f>(12516+672)*12+39000</f>
        <v>197256</v>
      </c>
      <c r="G159" s="124">
        <v>94425</v>
      </c>
      <c r="K159" s="3"/>
      <c r="L159" s="3"/>
    </row>
    <row r="160" spans="1:7" ht="15">
      <c r="A160" s="37"/>
      <c r="B160" s="10" t="s">
        <v>191</v>
      </c>
      <c r="C160" s="22" t="s">
        <v>312</v>
      </c>
      <c r="D160" s="102">
        <v>5208</v>
      </c>
      <c r="E160" s="83">
        <v>6000</v>
      </c>
      <c r="F160" s="116">
        <v>6000</v>
      </c>
      <c r="G160" s="124">
        <v>5472</v>
      </c>
    </row>
    <row r="161" spans="1:7" ht="15">
      <c r="A161" s="37"/>
      <c r="B161" s="10" t="s">
        <v>192</v>
      </c>
      <c r="C161" s="22" t="s">
        <v>193</v>
      </c>
      <c r="D161" s="102">
        <v>10726</v>
      </c>
      <c r="E161" s="83">
        <v>6000</v>
      </c>
      <c r="F161" s="116">
        <v>6000</v>
      </c>
      <c r="G161" s="124">
        <f>4022-2714</f>
        <v>1308</v>
      </c>
    </row>
    <row r="162" spans="1:7" ht="15">
      <c r="A162" s="37"/>
      <c r="B162" s="10" t="s">
        <v>194</v>
      </c>
      <c r="C162" s="22" t="s">
        <v>195</v>
      </c>
      <c r="D162" s="102">
        <f>14066+19286</f>
        <v>33352</v>
      </c>
      <c r="E162" s="83">
        <v>30000</v>
      </c>
      <c r="F162" s="116">
        <v>30000</v>
      </c>
      <c r="G162" s="124">
        <v>14551</v>
      </c>
    </row>
    <row r="163" spans="1:7" ht="15">
      <c r="A163" s="37"/>
      <c r="B163" s="10" t="s">
        <v>196</v>
      </c>
      <c r="C163" s="22" t="s">
        <v>197</v>
      </c>
      <c r="D163" s="102">
        <f>31439</f>
        <v>31439</v>
      </c>
      <c r="E163" s="83">
        <v>32000</v>
      </c>
      <c r="F163" s="116">
        <v>32000</v>
      </c>
      <c r="G163" s="124">
        <v>12300</v>
      </c>
    </row>
    <row r="164" spans="1:7" ht="15">
      <c r="A164" s="37"/>
      <c r="B164" s="10" t="s">
        <v>198</v>
      </c>
      <c r="C164" s="22" t="s">
        <v>199</v>
      </c>
      <c r="D164" s="102">
        <f>10704+38587</f>
        <v>49291</v>
      </c>
      <c r="E164" s="83">
        <v>30000</v>
      </c>
      <c r="F164" s="116">
        <v>30000</v>
      </c>
      <c r="G164" s="124"/>
    </row>
    <row r="165" spans="1:7" ht="15">
      <c r="A165" s="37"/>
      <c r="B165" s="10" t="s">
        <v>200</v>
      </c>
      <c r="C165" s="22" t="s">
        <v>201</v>
      </c>
      <c r="D165" s="102">
        <v>5192</v>
      </c>
      <c r="E165" s="83">
        <v>7500</v>
      </c>
      <c r="F165" s="116">
        <v>7500</v>
      </c>
      <c r="G165" s="124">
        <v>6689</v>
      </c>
    </row>
    <row r="166" spans="1:7" ht="15">
      <c r="A166" s="37"/>
      <c r="B166" s="10" t="s">
        <v>202</v>
      </c>
      <c r="C166" s="22" t="s">
        <v>203</v>
      </c>
      <c r="D166" s="102">
        <v>2754</v>
      </c>
      <c r="E166" s="83">
        <v>5000</v>
      </c>
      <c r="F166" s="116">
        <v>5000</v>
      </c>
      <c r="G166" s="124"/>
    </row>
    <row r="167" spans="1:11" ht="15">
      <c r="A167" s="37"/>
      <c r="B167" s="10" t="s">
        <v>204</v>
      </c>
      <c r="C167" s="22" t="s">
        <v>205</v>
      </c>
      <c r="D167" s="102">
        <f>17163+372</f>
        <v>17535</v>
      </c>
      <c r="E167" s="83">
        <v>20000</v>
      </c>
      <c r="F167" s="116">
        <v>20000</v>
      </c>
      <c r="G167" s="124">
        <v>18736</v>
      </c>
      <c r="K167" s="3"/>
    </row>
    <row r="168" spans="1:7" ht="15">
      <c r="A168" s="37"/>
      <c r="B168" s="10" t="s">
        <v>206</v>
      </c>
      <c r="C168" s="22" t="s">
        <v>207</v>
      </c>
      <c r="D168" s="102">
        <f>5999+380</f>
        <v>6379</v>
      </c>
      <c r="E168" s="83">
        <v>20000</v>
      </c>
      <c r="F168" s="116">
        <v>20000</v>
      </c>
      <c r="G168" s="124">
        <v>3500</v>
      </c>
    </row>
    <row r="169" spans="1:7" ht="15">
      <c r="A169" s="37"/>
      <c r="B169" s="10" t="s">
        <v>208</v>
      </c>
      <c r="C169" s="22" t="s">
        <v>210</v>
      </c>
      <c r="D169" s="102">
        <v>658</v>
      </c>
      <c r="E169" s="83">
        <v>2000</v>
      </c>
      <c r="F169" s="116">
        <v>2000</v>
      </c>
      <c r="G169" s="124">
        <v>2452</v>
      </c>
    </row>
    <row r="170" spans="1:7" ht="15">
      <c r="A170" s="37"/>
      <c r="B170" s="10" t="s">
        <v>209</v>
      </c>
      <c r="C170" s="22" t="s">
        <v>258</v>
      </c>
      <c r="D170" s="102">
        <f>1836+10180</f>
        <v>12016</v>
      </c>
      <c r="E170" s="83">
        <v>20000</v>
      </c>
      <c r="F170" s="116">
        <v>20000</v>
      </c>
      <c r="G170" s="124">
        <v>3739</v>
      </c>
    </row>
    <row r="171" spans="1:7" ht="15" customHeight="1">
      <c r="A171" s="37"/>
      <c r="B171" s="10" t="s">
        <v>211</v>
      </c>
      <c r="C171" s="22" t="s">
        <v>244</v>
      </c>
      <c r="D171" s="102">
        <f>6492+8929+500</f>
        <v>15921</v>
      </c>
      <c r="E171" s="83">
        <v>15000</v>
      </c>
      <c r="F171" s="122">
        <v>15000</v>
      </c>
      <c r="G171" s="124">
        <v>983</v>
      </c>
    </row>
    <row r="172" spans="1:7" ht="15.75" thickBot="1">
      <c r="A172" s="72"/>
      <c r="B172" s="8" t="s">
        <v>243</v>
      </c>
      <c r="C172" s="34" t="s">
        <v>212</v>
      </c>
      <c r="D172" s="106">
        <v>0</v>
      </c>
      <c r="E172" s="87">
        <v>0</v>
      </c>
      <c r="F172" s="122">
        <v>0</v>
      </c>
      <c r="G172" s="124"/>
    </row>
    <row r="173" spans="1:7" ht="15.75" thickBot="1">
      <c r="A173" s="50" t="s">
        <v>37</v>
      </c>
      <c r="B173" s="21"/>
      <c r="C173" s="32"/>
      <c r="D173" s="73">
        <f>D158+D147+D136+D129+D128+D119+D117+D109+D105+D100+D97+D91+D86+D73+D66+D50+D38</f>
        <v>13341686</v>
      </c>
      <c r="E173" s="92">
        <f>E158+E147+E136+E129+E119+E117+E109+E105+E100+E97+E91+E86+E73+E66+E50+E38</f>
        <v>13136561.75</v>
      </c>
      <c r="F173" s="132">
        <f>F158+F147+F136+F129+F119+F117+F109+F105+F100+F97+F91+F86+F73+F66+F50+F38</f>
        <v>11146961.75</v>
      </c>
      <c r="G173" s="98">
        <f>G158+G147+G136+G129+G119+G117+G109+G105+G100+G97+G91+G86+G73+G66+G50+G38</f>
        <v>3901781</v>
      </c>
    </row>
    <row r="174" spans="1:6" ht="15.75" thickBot="1">
      <c r="A174" s="49"/>
      <c r="B174" s="13"/>
      <c r="C174" s="24"/>
      <c r="D174" s="53"/>
      <c r="E174" s="93"/>
      <c r="F174" s="93"/>
    </row>
    <row r="175" spans="1:11" ht="15.75" thickBot="1">
      <c r="A175" s="68" t="s">
        <v>222</v>
      </c>
      <c r="B175" s="69"/>
      <c r="C175" s="70"/>
      <c r="D175" s="71">
        <f>D34-D173</f>
        <v>3772142</v>
      </c>
      <c r="E175" s="98">
        <f>E34-E173</f>
        <v>-1600361.75</v>
      </c>
      <c r="F175" s="94">
        <f>F34-F173</f>
        <v>-1783261.75</v>
      </c>
      <c r="G175" s="94">
        <f>G34-G173</f>
        <v>512787</v>
      </c>
      <c r="J175" s="96"/>
      <c r="K175" s="96"/>
    </row>
    <row r="177" spans="1:3" ht="15">
      <c r="A177" s="111" t="s">
        <v>316</v>
      </c>
      <c r="B177" s="112">
        <v>5000</v>
      </c>
      <c r="C177" t="s">
        <v>317</v>
      </c>
    </row>
  </sheetData>
  <sheetProtection selectLockedCells="1" selectUnlockedCells="1"/>
  <printOptions/>
  <pageMargins left="0.7086614173228347" right="0.4724409448818898" top="0.3937007874015748" bottom="0.9055118110236221" header="0.4330708661417323" footer="0.5118110236220472"/>
  <pageSetup fitToHeight="4" horizontalDpi="600" verticalDpi="600" orientation="portrait" paperSize="9" scale="83" r:id="rId1"/>
  <rowBreaks count="3" manualBreakCount="3">
    <brk id="49" max="255" man="1"/>
    <brk id="104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GMVoko</dc:creator>
  <cp:keywords/>
  <dc:description/>
  <cp:lastModifiedBy>Rostislav Svoboda</cp:lastModifiedBy>
  <cp:lastPrinted>2013-03-25T16:14:56Z</cp:lastPrinted>
  <dcterms:created xsi:type="dcterms:W3CDTF">2012-06-13T07:59:01Z</dcterms:created>
  <dcterms:modified xsi:type="dcterms:W3CDTF">2013-07-12T17:52:51Z</dcterms:modified>
  <cp:category/>
  <cp:version/>
  <cp:contentType/>
  <cp:contentStatus/>
</cp:coreProperties>
</file>